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" sheetId="5" r:id="rId5"/>
    <sheet name="2017 рік" sheetId="6" r:id="rId6"/>
    <sheet name="2016 рік" sheetId="7" r:id="rId7"/>
  </sheets>
  <externalReferences>
    <externalReference r:id="rId10"/>
    <externalReference r:id="rId11"/>
  </externalReferences>
  <definedNames>
    <definedName name="_xlnm.Print_Area" localSheetId="1">'квітень'!$A$1:$X$109</definedName>
    <definedName name="_xlnm.Print_Area" localSheetId="0">'травень'!$A$1:$Z$110</definedName>
  </definedNames>
  <calcPr fullCalcOnLoad="1"/>
</workbook>
</file>

<file path=xl/sharedStrings.xml><?xml version="1.0" encoding="utf-8"?>
<sst xmlns="http://schemas.openxmlformats.org/spreadsheetml/2006/main" count="1284" uniqueCount="242">
  <si>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</si>
  <si>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</si>
  <si>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</si>
  <si>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</si>
  <si>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</si>
  <si>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</si>
  <si>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</si>
  <si>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</si>
  <si>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</si>
  <si>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</si>
  <si>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</si>
  <si>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</si>
  <si>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</si>
  <si>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</si>
  <si>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</si>
  <si>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</si>
  <si>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</si>
  <si>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</si>
  <si>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</si>
  <si>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</si>
  <si>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</si>
  <si>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</si>
  <si>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</si>
  <si>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</si>
  <si>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</si>
  <si>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</si>
  <si>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</si>
  <si>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</si>
  <si>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</si>
  <si>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</si>
  <si>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</si>
  <si>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</si>
  <si>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</si>
  <si>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</si>
  <si>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</si>
  <si>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</si>
  <si>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</si>
  <si>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</si>
  <si>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</si>
  <si>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</si>
  <si>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</si>
  <si>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</si>
  <si>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</si>
  <si>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</si>
  <si>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</si>
  <si>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</si>
  <si>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</si>
  <si>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</si>
  <si>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</si>
  <si>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</si>
  <si>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</si>
  <si>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</si>
  <si>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</si>
  <si>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</si>
  <si>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</si>
  <si>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</si>
  <si>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</si>
  <si>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</si>
  <si>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</si>
  <si>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</si>
  <si>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</si>
  <si>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</si>
  <si>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</si>
  <si>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</si>
  <si>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</si>
  <si>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</si>
  <si>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</si>
  <si>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</si>
  <si>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</si>
  <si>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</si>
  <si>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</si>
  <si>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</si>
  <si>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</si>
  <si>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</si>
  <si>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</si>
  <si>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</si>
  <si>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</si>
  <si>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</si>
  <si>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</si>
  <si>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</si>
  <si>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</si>
  <si>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</si>
  <si>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</si>
  <si>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</si>
  <si>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</si>
  <si>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</si>
  <si>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</si>
  <si>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</si>
  <si>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</si>
  <si>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</si>
  <si>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</si>
  <si>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</si>
  <si>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</si>
  <si>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</si>
  <si>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</si>
  <si>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</si>
  <si>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</si>
  <si>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</si>
  <si>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</si>
  <si>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</si>
  <si>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</si>
  <si>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</si>
  <si>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</si>
  <si>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</si>
  <si>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</si>
  <si>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</si>
  <si>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</si>
  <si>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</si>
  <si>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</si>
  <si>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</si>
  <si>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</si>
  <si>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</si>
  <si>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</si>
  <si>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</si>
  <si>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</si>
  <si>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</si>
  <si>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</si>
  <si>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</si>
  <si>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</si>
  <si>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</si>
  <si>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</si>
  <si>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</si>
  <si>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</si>
  <si>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</si>
  <si>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</si>
  <si>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</si>
  <si>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</si>
  <si>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</si>
  <si>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</si>
  <si>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</si>
  <si>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</si>
  <si>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</si>
  <si>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</si>
  <si>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</si>
  <si>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</si>
  <si>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</si>
  <si>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</si>
  <si>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</si>
  <si>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</si>
  <si>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</si>
  <si>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</si>
  <si>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</si>
  <si>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</si>
  <si>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</si>
  <si>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</si>
  <si>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</si>
  <si>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</si>
  <si>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</si>
  <si>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</si>
  <si>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</si>
  <si>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</si>
  <si>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</si>
  <si>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</si>
  <si>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</si>
  <si>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</si>
  <si>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</si>
  <si>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</si>
  <si>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</si>
  <si>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</si>
  <si>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</si>
  <si>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</si>
  <si>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</si>
  <si>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</si>
  <si>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</si>
  <si>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</si>
  <si>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</si>
  <si>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</si>
  <si>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</si>
  <si>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</si>
  <si>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</si>
  <si>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</si>
  <si>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</si>
  <si>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</si>
  <si>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</si>
  <si>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</si>
  <si>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</si>
  <si>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</si>
  <si>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</si>
  <si>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</si>
  <si>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</si>
  <si>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</si>
  <si>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</si>
  <si>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</si>
  <si>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</si>
  <si>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</si>
  <si>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</si>
  <si>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</si>
  <si>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</si>
  <si>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</si>
  <si>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</si>
  <si>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</si>
  <si>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</si>
  <si>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</si>
  <si>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</si>
  <si>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</si>
  <si>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</si>
  <si>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</si>
  <si>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</si>
  <si>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</si>
  <si>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</si>
  <si>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</si>
  <si>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</si>
  <si>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</si>
  <si>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</si>
  <si>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</si>
  <si>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</si>
  <si>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</si>
  <si>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</si>
  <si>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</si>
  <si>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</si>
  <si>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</si>
  <si>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</si>
  <si>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</si>
  <si>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</si>
  <si>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</si>
  <si>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</si>
  <si>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</si>
  <si>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</si>
  <si>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</si>
  <si>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</si>
  <si>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</si>
  <si>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</si>
  <si>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</si>
  <si>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</si>
  <si>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</si>
  <si>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</si>
  <si>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</si>
  <si>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</si>
  <si>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</si>
  <si>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</si>
  <si>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</si>
  <si>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</si>
  <si>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</si>
  <si>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</si>
  <si>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</si>
  <si>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</si>
  <si>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</si>
  <si>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</si>
  <si>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</si>
  <si>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11.05.2018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</si>
  <si>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</si>
  <si>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Кошти за шкоду внаслідок   самовільного зайняття землі, використання не за цільовим призначенням, зняття ґрунтового покриву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</si>
</sst>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5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24" fillId="0" borderId="0">
      <alignment/>
      <protection/>
    </xf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0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1" fillId="41" borderId="10" xfId="0" applyNumberFormat="1" applyFont="1" applyFill="1" applyBorder="1" applyAlignment="1">
      <alignment/>
    </xf>
    <xf numFmtId="182" fontId="91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0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0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0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2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88" fillId="0" borderId="10" xfId="0" applyNumberFormat="1" applyFont="1" applyFill="1" applyBorder="1" applyAlignment="1" applyProtection="1">
      <alignment/>
      <protection/>
    </xf>
    <xf numFmtId="191" fontId="88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1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1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</sheetNames>
    <sheetDataSet>
      <sheetData sheetId="21">
        <row r="6">
          <cell r="G6">
            <v>47539</v>
          </cell>
        </row>
      </sheetData>
      <sheetData sheetId="45">
        <row r="6">
          <cell r="G6" t="str">
            <v>авансові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2"/>
  <sheetViews>
    <sheetView tabSelected="1" zoomScale="69" zoomScaleNormal="69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10" sqref="E11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68" t="s">
        <v>239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186"/>
    </row>
    <row r="2" spans="2:25" s="1" customFormat="1" ht="15.75" customHeight="1">
      <c r="B2" s="469"/>
      <c r="C2" s="469"/>
      <c r="D2" s="469"/>
      <c r="E2" s="469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0"/>
      <c r="B3" s="472"/>
      <c r="C3" s="473" t="s">
        <v>0</v>
      </c>
      <c r="D3" s="474" t="s">
        <v>131</v>
      </c>
      <c r="E3" s="474" t="s">
        <v>221</v>
      </c>
      <c r="F3" s="25"/>
      <c r="G3" s="475" t="s">
        <v>26</v>
      </c>
      <c r="H3" s="476"/>
      <c r="I3" s="476"/>
      <c r="J3" s="476"/>
      <c r="K3" s="47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8" t="s">
        <v>235</v>
      </c>
      <c r="V3" s="481" t="s">
        <v>236</v>
      </c>
      <c r="W3" s="481"/>
      <c r="X3" s="481"/>
      <c r="Y3" s="194"/>
    </row>
    <row r="4" spans="1:24" ht="22.5" customHeight="1">
      <c r="A4" s="470"/>
      <c r="B4" s="472"/>
      <c r="C4" s="473"/>
      <c r="D4" s="474"/>
      <c r="E4" s="474"/>
      <c r="F4" s="482" t="s">
        <v>232</v>
      </c>
      <c r="G4" s="484" t="s">
        <v>31</v>
      </c>
      <c r="H4" s="486" t="s">
        <v>233</v>
      </c>
      <c r="I4" s="479" t="s">
        <v>234</v>
      </c>
      <c r="J4" s="486" t="s">
        <v>132</v>
      </c>
      <c r="K4" s="47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79"/>
      <c r="V4" s="488" t="s">
        <v>240</v>
      </c>
      <c r="W4" s="486" t="s">
        <v>44</v>
      </c>
      <c r="X4" s="490" t="s">
        <v>43</v>
      </c>
    </row>
    <row r="5" spans="1:24" ht="67.5" customHeight="1">
      <c r="A5" s="471"/>
      <c r="B5" s="472"/>
      <c r="C5" s="473"/>
      <c r="D5" s="474"/>
      <c r="E5" s="474"/>
      <c r="F5" s="483"/>
      <c r="G5" s="485"/>
      <c r="H5" s="487"/>
      <c r="I5" s="480"/>
      <c r="J5" s="487"/>
      <c r="K5" s="480"/>
      <c r="L5" s="491" t="s">
        <v>135</v>
      </c>
      <c r="M5" s="492"/>
      <c r="N5" s="493"/>
      <c r="O5" s="494" t="s">
        <v>210</v>
      </c>
      <c r="P5" s="495"/>
      <c r="Q5" s="496"/>
      <c r="R5" s="497" t="s">
        <v>237</v>
      </c>
      <c r="S5" s="497"/>
      <c r="T5" s="497"/>
      <c r="U5" s="480"/>
      <c r="V5" s="489"/>
      <c r="W5" s="487"/>
      <c r="X5" s="49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600094.74</v>
      </c>
      <c r="G8" s="103">
        <f>G9+G15+G18+G19+G23+G17</f>
        <v>540039.5900000001</v>
      </c>
      <c r="H8" s="103">
        <f>G8-F8</f>
        <v>-60055.14999999991</v>
      </c>
      <c r="I8" s="210">
        <f aca="true" t="shared" si="0" ref="I8:I15">G8/F8</f>
        <v>0.8999238853518364</v>
      </c>
      <c r="J8" s="104">
        <f aca="true" t="shared" si="1" ref="J8:J52">G8-E8</f>
        <v>-1040594.21</v>
      </c>
      <c r="K8" s="156">
        <f aca="true" t="shared" si="2" ref="K8:K14">G8/E8</f>
        <v>0.34166015556544477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505095.97</v>
      </c>
      <c r="S8" s="103">
        <f aca="true" t="shared" si="5" ref="S8:S79">G8-R8</f>
        <v>34943.62000000011</v>
      </c>
      <c r="T8" s="143">
        <f aca="true" t="shared" si="6" ref="T8:T41">G8/R8</f>
        <v>1.0691821397822678</v>
      </c>
      <c r="U8" s="103">
        <f>U9+U15+U18+U19+U23+U17</f>
        <v>125271.39999999997</v>
      </c>
      <c r="V8" s="103">
        <f>V9+V15+V18+V19+V23+V17</f>
        <v>41337.21000000001</v>
      </c>
      <c r="W8" s="103">
        <f>V8-U8</f>
        <v>-83934.18999999996</v>
      </c>
      <c r="X8" s="143">
        <f aca="true" t="shared" si="7" ref="X8:X15">V8/U8</f>
        <v>0.3299812247647908</v>
      </c>
      <c r="Y8" s="199">
        <f aca="true" t="shared" si="8" ref="Y8:Y22">T8-Q8</f>
        <v>-0.11963427174886321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342289.04</v>
      </c>
      <c r="G9" s="106">
        <v>326334.28</v>
      </c>
      <c r="H9" s="102">
        <f>G9-F9</f>
        <v>-15954.759999999951</v>
      </c>
      <c r="I9" s="208">
        <f t="shared" si="0"/>
        <v>0.953388048884066</v>
      </c>
      <c r="J9" s="108">
        <f t="shared" si="1"/>
        <v>-629868.72</v>
      </c>
      <c r="K9" s="148">
        <f t="shared" si="2"/>
        <v>0.34128138062733543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281631.58</v>
      </c>
      <c r="S9" s="109">
        <f t="shared" si="5"/>
        <v>44702.70000000001</v>
      </c>
      <c r="T9" s="144">
        <f t="shared" si="6"/>
        <v>1.158727583035965</v>
      </c>
      <c r="U9" s="107">
        <f>F9-квітень!F9</f>
        <v>71637.89999999997</v>
      </c>
      <c r="V9" s="110">
        <f>G9-квітень!G9</f>
        <v>27980.21000000002</v>
      </c>
      <c r="W9" s="111">
        <f>V9-U9</f>
        <v>-43657.689999999944</v>
      </c>
      <c r="X9" s="148">
        <f t="shared" si="7"/>
        <v>0.39057831120119424</v>
      </c>
      <c r="Y9" s="200">
        <f t="shared" si="8"/>
        <v>-0.07377580885119261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315213.7</v>
      </c>
      <c r="G10" s="94">
        <v>296842.35</v>
      </c>
      <c r="H10" s="71">
        <f aca="true" t="shared" si="9" ref="H10:H47">G10-F10</f>
        <v>-18371.350000000035</v>
      </c>
      <c r="I10" s="209">
        <f t="shared" si="0"/>
        <v>0.9417177933573317</v>
      </c>
      <c r="J10" s="72">
        <f t="shared" si="1"/>
        <v>-584960.65</v>
      </c>
      <c r="K10" s="75">
        <f t="shared" si="2"/>
        <v>0.336631140969128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257579.18</v>
      </c>
      <c r="S10" s="74">
        <f t="shared" si="5"/>
        <v>39263.169999999984</v>
      </c>
      <c r="T10" s="145">
        <f t="shared" si="6"/>
        <v>1.1524314581636605</v>
      </c>
      <c r="U10" s="73">
        <f>F10-квітень!F10</f>
        <v>66100</v>
      </c>
      <c r="V10" s="98">
        <f>G10-квітень!G10</f>
        <v>24241.399999999965</v>
      </c>
      <c r="W10" s="74">
        <f aca="true" t="shared" si="10" ref="W10:W52">V10-U10</f>
        <v>-41858.600000000035</v>
      </c>
      <c r="X10" s="75">
        <f t="shared" si="7"/>
        <v>0.3667382753403928</v>
      </c>
      <c r="Y10" s="198">
        <f t="shared" si="8"/>
        <v>-0.08971998645933033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18441.3</v>
      </c>
      <c r="G11" s="94">
        <v>17508.69</v>
      </c>
      <c r="H11" s="71">
        <f t="shared" si="9"/>
        <v>-932.6100000000006</v>
      </c>
      <c r="I11" s="209">
        <f t="shared" si="0"/>
        <v>0.9494281856485172</v>
      </c>
      <c r="J11" s="72">
        <f t="shared" si="1"/>
        <v>-32391.31</v>
      </c>
      <c r="K11" s="75">
        <f t="shared" si="2"/>
        <v>0.35087555110220436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15819.9</v>
      </c>
      <c r="S11" s="74">
        <f t="shared" si="5"/>
        <v>1688.789999999999</v>
      </c>
      <c r="T11" s="145">
        <f t="shared" si="6"/>
        <v>1.10675099084065</v>
      </c>
      <c r="U11" s="73">
        <f>F11-квітень!F11</f>
        <v>3906.5999999999985</v>
      </c>
      <c r="V11" s="98">
        <f>G11-квітень!G11</f>
        <v>1029.5499999999993</v>
      </c>
      <c r="W11" s="74">
        <f t="shared" si="10"/>
        <v>-2877.0499999999993</v>
      </c>
      <c r="X11" s="75">
        <f t="shared" si="7"/>
        <v>0.26354118670967075</v>
      </c>
      <c r="Y11" s="198">
        <f t="shared" si="8"/>
        <v>-0.06691348365284533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4096.41</v>
      </c>
      <c r="G12" s="94">
        <v>6530.55</v>
      </c>
      <c r="H12" s="71">
        <f t="shared" si="9"/>
        <v>2434.1400000000003</v>
      </c>
      <c r="I12" s="209">
        <f t="shared" si="0"/>
        <v>1.5942129816107276</v>
      </c>
      <c r="J12" s="72">
        <f t="shared" si="1"/>
        <v>-5469.45</v>
      </c>
      <c r="K12" s="75">
        <f t="shared" si="2"/>
        <v>0.5442125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3742.26</v>
      </c>
      <c r="S12" s="74">
        <f t="shared" si="5"/>
        <v>2788.29</v>
      </c>
      <c r="T12" s="145">
        <f t="shared" si="6"/>
        <v>1.7450818489362043</v>
      </c>
      <c r="U12" s="73">
        <f>F12-квітень!F12</f>
        <v>952</v>
      </c>
      <c r="V12" s="98">
        <f>G12-квітень!G12</f>
        <v>2541.02</v>
      </c>
      <c r="W12" s="74">
        <f t="shared" si="10"/>
        <v>1589.02</v>
      </c>
      <c r="X12" s="75">
        <f t="shared" si="7"/>
        <v>2.6691386554621848</v>
      </c>
      <c r="Y12" s="198">
        <f t="shared" si="8"/>
        <v>0.7444272540553865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5145.07</v>
      </c>
      <c r="H13" s="71">
        <f t="shared" si="9"/>
        <v>885.0699999999997</v>
      </c>
      <c r="I13" s="209">
        <f t="shared" si="0"/>
        <v>1.207762910798122</v>
      </c>
      <c r="J13" s="72">
        <f t="shared" si="1"/>
        <v>-6854.93</v>
      </c>
      <c r="K13" s="75">
        <f t="shared" si="2"/>
        <v>0.42875583333333334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3882.59</v>
      </c>
      <c r="S13" s="74">
        <f t="shared" si="5"/>
        <v>1262.4799999999996</v>
      </c>
      <c r="T13" s="145">
        <f t="shared" si="6"/>
        <v>1.3251643876896606</v>
      </c>
      <c r="U13" s="73">
        <f>F13-квітень!F13</f>
        <v>646.3000000000002</v>
      </c>
      <c r="V13" s="98">
        <f>G13-квітень!G13</f>
        <v>168.22999999999956</v>
      </c>
      <c r="W13" s="74">
        <f t="shared" si="10"/>
        <v>-478.0700000000006</v>
      </c>
      <c r="X13" s="75">
        <f t="shared" si="7"/>
        <v>0.26029707566145677</v>
      </c>
      <c r="Y13" s="198">
        <f t="shared" si="8"/>
        <v>0.12956538760895753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 t="shared" si="9"/>
        <v>29.99000000000001</v>
      </c>
      <c r="I14" s="209">
        <f t="shared" si="0"/>
        <v>1.1080214674206679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607.65</v>
      </c>
      <c r="S14" s="74">
        <f t="shared" si="5"/>
        <v>-300.03</v>
      </c>
      <c r="T14" s="145">
        <f t="shared" si="6"/>
        <v>0.5062453715132066</v>
      </c>
      <c r="U14" s="73">
        <f>F14-квітень!F14</f>
        <v>33</v>
      </c>
      <c r="V14" s="98">
        <f>G14-квітень!G14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353.91</v>
      </c>
      <c r="H15" s="102">
        <f t="shared" si="9"/>
        <v>-11.089999999999975</v>
      </c>
      <c r="I15" s="208">
        <f t="shared" si="0"/>
        <v>0.9696164383561644</v>
      </c>
      <c r="J15" s="108">
        <f t="shared" si="1"/>
        <v>-546.0899999999999</v>
      </c>
      <c r="K15" s="108">
        <f aca="true" t="shared" si="11" ref="K15:K23">G15/E15*100</f>
        <v>39.32333333333334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309.35</v>
      </c>
      <c r="T15" s="146">
        <f t="shared" si="6"/>
        <v>7.942324955116697</v>
      </c>
      <c r="U15" s="107">
        <f>F15-квітень!F15</f>
        <v>300</v>
      </c>
      <c r="V15" s="110">
        <f>G15-квітень!G15</f>
        <v>16.230000000000018</v>
      </c>
      <c r="W15" s="111">
        <f t="shared" si="10"/>
        <v>-283.77</v>
      </c>
      <c r="X15" s="148">
        <f t="shared" si="7"/>
        <v>0.05410000000000006</v>
      </c>
      <c r="Y15" s="197">
        <f t="shared" si="8"/>
        <v>6.928366121845328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F16-квітень!F16</f>
        <v>0</v>
      </c>
      <c r="V16" s="110">
        <f>G16-квітень!G16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F17-квітень!F17</f>
        <v>0</v>
      </c>
      <c r="V17" s="110">
        <f>G17-квітень!G17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F18-квітень!F18</f>
        <v>20.5</v>
      </c>
      <c r="V18" s="110">
        <f>G18-квітень!G18</f>
        <v>0</v>
      </c>
      <c r="W18" s="111">
        <f t="shared" si="10"/>
        <v>-20.5</v>
      </c>
      <c r="X18" s="148">
        <f aca="true" t="shared" si="13" ref="X18:X35">V18/U18</f>
        <v>0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39303.22</v>
      </c>
      <c r="H19" s="102">
        <f t="shared" si="9"/>
        <v>-16959.78</v>
      </c>
      <c r="I19" s="208">
        <f t="shared" si="12"/>
        <v>0.6985624655635142</v>
      </c>
      <c r="J19" s="108">
        <f t="shared" si="1"/>
        <v>-112424.78</v>
      </c>
      <c r="K19" s="108">
        <f t="shared" si="11"/>
        <v>25.90373563218391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44995.09</v>
      </c>
      <c r="S19" s="111">
        <f t="shared" si="5"/>
        <v>-5691.869999999995</v>
      </c>
      <c r="T19" s="146">
        <f t="shared" si="6"/>
        <v>0.8735001974659903</v>
      </c>
      <c r="U19" s="107">
        <f>F19-квітень!F19</f>
        <v>11273</v>
      </c>
      <c r="V19" s="110">
        <f>G19-квітень!G19</f>
        <v>2228</v>
      </c>
      <c r="W19" s="111">
        <f t="shared" si="10"/>
        <v>-9045</v>
      </c>
      <c r="X19" s="148">
        <f t="shared" si="13"/>
        <v>0.19764037966823383</v>
      </c>
      <c r="Y19" s="197">
        <f t="shared" si="8"/>
        <v>-0.37068041602080026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16853.94</v>
      </c>
      <c r="H20" s="170">
        <f t="shared" si="9"/>
        <v>-5109.060000000001</v>
      </c>
      <c r="I20" s="211">
        <f t="shared" si="12"/>
        <v>0.7673787733916131</v>
      </c>
      <c r="J20" s="171">
        <f t="shared" si="1"/>
        <v>-49854.06</v>
      </c>
      <c r="K20" s="171">
        <f t="shared" si="11"/>
        <v>25.265245547760383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26128.49</v>
      </c>
      <c r="S20" s="116">
        <f t="shared" si="5"/>
        <v>-9274.550000000003</v>
      </c>
      <c r="T20" s="172">
        <f t="shared" si="6"/>
        <v>0.645040719919138</v>
      </c>
      <c r="U20" s="136">
        <f>F20-квітень!F20</f>
        <v>4273</v>
      </c>
      <c r="V20" s="124">
        <f>G20-квітень!G20</f>
        <v>70.16999999999825</v>
      </c>
      <c r="W20" s="116">
        <f t="shared" si="10"/>
        <v>-4202.830000000002</v>
      </c>
      <c r="X20" s="180">
        <f t="shared" si="13"/>
        <v>0.01642171776269559</v>
      </c>
      <c r="Y20" s="197">
        <f t="shared" si="8"/>
        <v>-0.45327832902099596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4904.24</v>
      </c>
      <c r="H21" s="170">
        <f t="shared" si="9"/>
        <v>-1595.7600000000002</v>
      </c>
      <c r="I21" s="211">
        <f t="shared" si="12"/>
        <v>0.7544984615384615</v>
      </c>
      <c r="J21" s="171">
        <f t="shared" si="1"/>
        <v>-10791.76</v>
      </c>
      <c r="K21" s="171">
        <f t="shared" si="11"/>
        <v>31.245158002038735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4093.69</v>
      </c>
      <c r="S21" s="116">
        <f t="shared" si="5"/>
        <v>810.5499999999997</v>
      </c>
      <c r="T21" s="172">
        <f t="shared" si="6"/>
        <v>1.1979998485473984</v>
      </c>
      <c r="U21" s="136">
        <f>F21-квітень!F21</f>
        <v>1300</v>
      </c>
      <c r="V21" s="124">
        <f>G21-квітень!G21</f>
        <v>236.34999999999945</v>
      </c>
      <c r="W21" s="116">
        <f t="shared" si="10"/>
        <v>-1063.6500000000005</v>
      </c>
      <c r="X21" s="180">
        <f t="shared" si="13"/>
        <v>0.1818076923076919</v>
      </c>
      <c r="Y21" s="197">
        <f t="shared" si="8"/>
        <v>-0.05480271452573526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18545.04</v>
      </c>
      <c r="H22" s="170">
        <f t="shared" si="9"/>
        <v>-9254.96</v>
      </c>
      <c r="I22" s="211">
        <f t="shared" si="12"/>
        <v>0.6670877697841727</v>
      </c>
      <c r="J22" s="171">
        <f t="shared" si="1"/>
        <v>-50778.96</v>
      </c>
      <c r="K22" s="171">
        <f t="shared" si="11"/>
        <v>26.751254976631472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14772.92</v>
      </c>
      <c r="S22" s="116">
        <f t="shared" si="5"/>
        <v>3772.120000000001</v>
      </c>
      <c r="T22" s="172">
        <f t="shared" si="6"/>
        <v>1.2553401764850822</v>
      </c>
      <c r="U22" s="136">
        <f>F22-квітень!F22</f>
        <v>5700</v>
      </c>
      <c r="V22" s="124">
        <f>G22-квітень!G22</f>
        <v>2921.4900000000016</v>
      </c>
      <c r="W22" s="116">
        <f t="shared" si="10"/>
        <v>-2778.5099999999984</v>
      </c>
      <c r="X22" s="180">
        <f t="shared" si="13"/>
        <v>0.5125421052631581</v>
      </c>
      <c r="Y22" s="197">
        <f t="shared" si="8"/>
        <v>-0.1685897501575906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201037.2</v>
      </c>
      <c r="G23" s="158">
        <v>173853.94</v>
      </c>
      <c r="H23" s="102">
        <f t="shared" si="9"/>
        <v>-27183.26000000001</v>
      </c>
      <c r="I23" s="208">
        <f t="shared" si="12"/>
        <v>0.8647849253769949</v>
      </c>
      <c r="J23" s="108">
        <f t="shared" si="1"/>
        <v>-297713.25999999995</v>
      </c>
      <c r="K23" s="108">
        <f t="shared" si="11"/>
        <v>36.86726727389013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178305.79</v>
      </c>
      <c r="S23" s="111">
        <f t="shared" si="5"/>
        <v>-4451.850000000006</v>
      </c>
      <c r="T23" s="147">
        <f t="shared" si="6"/>
        <v>0.97503249894465</v>
      </c>
      <c r="U23" s="107">
        <f>F23-квітень!F23</f>
        <v>42040</v>
      </c>
      <c r="V23" s="110">
        <f>G23-квітень!G23</f>
        <v>11112.76999999999</v>
      </c>
      <c r="W23" s="111">
        <f t="shared" si="10"/>
        <v>-30927.23000000001</v>
      </c>
      <c r="X23" s="148">
        <f t="shared" si="13"/>
        <v>0.2643380114176972</v>
      </c>
      <c r="Y23" s="197">
        <f>T23-Q23</f>
        <v>-0.11983905482004531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72949.20999999999</v>
      </c>
      <c r="H24" s="102">
        <f t="shared" si="9"/>
        <v>-12753.800000000017</v>
      </c>
      <c r="I24" s="208">
        <f t="shared" si="12"/>
        <v>0.8511860901968319</v>
      </c>
      <c r="J24" s="108">
        <f t="shared" si="1"/>
        <v>-143892.79</v>
      </c>
      <c r="K24" s="148">
        <f aca="true" t="shared" si="14" ref="K24:K41">G24/E24</f>
        <v>0.33641642301768104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81732.13</v>
      </c>
      <c r="S24" s="111">
        <f t="shared" si="5"/>
        <v>-8782.920000000013</v>
      </c>
      <c r="T24" s="147">
        <f t="shared" si="6"/>
        <v>0.892540179731031</v>
      </c>
      <c r="U24" s="107">
        <f>F24-квітень!F24</f>
        <v>15913</v>
      </c>
      <c r="V24" s="110">
        <f>G24-квітень!G24</f>
        <v>1589.3499999999913</v>
      </c>
      <c r="W24" s="111">
        <f t="shared" si="10"/>
        <v>-14323.650000000009</v>
      </c>
      <c r="X24" s="148">
        <f t="shared" si="13"/>
        <v>0.09987745868158054</v>
      </c>
      <c r="Y24" s="197">
        <f aca="true" t="shared" si="15" ref="Y24:Y100">T24-Q24</f>
        <v>-0.15383786510134778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12667.14</v>
      </c>
      <c r="H25" s="170">
        <f t="shared" si="9"/>
        <v>803.6399999999994</v>
      </c>
      <c r="I25" s="211">
        <f t="shared" si="12"/>
        <v>1.0677405487419396</v>
      </c>
      <c r="J25" s="171">
        <f t="shared" si="1"/>
        <v>-16116.86</v>
      </c>
      <c r="K25" s="180">
        <f t="shared" si="14"/>
        <v>0.44007573652028903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10136.04</v>
      </c>
      <c r="S25" s="116">
        <f t="shared" si="5"/>
        <v>2531.0999999999985</v>
      </c>
      <c r="T25" s="152">
        <f t="shared" si="6"/>
        <v>1.249712905631785</v>
      </c>
      <c r="U25" s="136">
        <f>F25-квітень!F25</f>
        <v>627</v>
      </c>
      <c r="V25" s="124">
        <f>G25-квітень!G25</f>
        <v>100.02999999999884</v>
      </c>
      <c r="W25" s="116">
        <f t="shared" si="10"/>
        <v>-526.9700000000012</v>
      </c>
      <c r="X25" s="180">
        <f t="shared" si="13"/>
        <v>0.159537480063794</v>
      </c>
      <c r="Y25" s="197">
        <f t="shared" si="15"/>
        <v>0.11711595967724642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723.01</v>
      </c>
      <c r="H26" s="158">
        <f t="shared" si="9"/>
        <v>430.4</v>
      </c>
      <c r="I26" s="212">
        <f t="shared" si="12"/>
        <v>2.4708998325416083</v>
      </c>
      <c r="J26" s="176">
        <f t="shared" si="1"/>
        <v>-798.99</v>
      </c>
      <c r="K26" s="191">
        <f t="shared" si="14"/>
        <v>0.4750394218134034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197.27</v>
      </c>
      <c r="S26" s="201">
        <f t="shared" si="5"/>
        <v>525.74</v>
      </c>
      <c r="T26" s="162">
        <f t="shared" si="6"/>
        <v>3.6650783190551017</v>
      </c>
      <c r="U26" s="167">
        <f>F26-квітень!F26</f>
        <v>12</v>
      </c>
      <c r="V26" s="167">
        <f>G26-квітень!G26</f>
        <v>24.720000000000027</v>
      </c>
      <c r="W26" s="176">
        <f t="shared" si="10"/>
        <v>12.720000000000027</v>
      </c>
      <c r="X26" s="191">
        <f t="shared" si="13"/>
        <v>2.0600000000000023</v>
      </c>
      <c r="Y26" s="197">
        <f t="shared" si="15"/>
        <v>2.659056731233119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11944.130000000001</v>
      </c>
      <c r="H27" s="158">
        <f t="shared" si="9"/>
        <v>373.2400000000016</v>
      </c>
      <c r="I27" s="212">
        <f t="shared" si="12"/>
        <v>1.0322568099774523</v>
      </c>
      <c r="J27" s="176">
        <f t="shared" si="1"/>
        <v>-15317.869999999999</v>
      </c>
      <c r="K27" s="191">
        <f t="shared" si="14"/>
        <v>0.4381237620130585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9938.769999999999</v>
      </c>
      <c r="S27" s="201">
        <f t="shared" si="5"/>
        <v>2005.3600000000024</v>
      </c>
      <c r="T27" s="162">
        <f t="shared" si="6"/>
        <v>1.2017714465673321</v>
      </c>
      <c r="U27" s="167">
        <f>F27-квітень!F27</f>
        <v>615</v>
      </c>
      <c r="V27" s="167">
        <f>G27-квітень!G27</f>
        <v>75.31000000000131</v>
      </c>
      <c r="W27" s="176">
        <f t="shared" si="10"/>
        <v>-539.6899999999987</v>
      </c>
      <c r="X27" s="191">
        <f t="shared" si="13"/>
        <v>0.12245528455284765</v>
      </c>
      <c r="Y27" s="197">
        <f t="shared" si="15"/>
        <v>0.0611630774758023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168.83</v>
      </c>
      <c r="H28" s="218">
        <f t="shared" si="9"/>
        <v>31.03</v>
      </c>
      <c r="I28" s="220">
        <f t="shared" si="12"/>
        <v>1.2251814223512336</v>
      </c>
      <c r="J28" s="221">
        <f t="shared" si="1"/>
        <v>-147.17</v>
      </c>
      <c r="K28" s="222">
        <f t="shared" si="14"/>
        <v>0.5342721518987342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164.34</v>
      </c>
      <c r="S28" s="221">
        <f t="shared" si="5"/>
        <v>4.490000000000009</v>
      </c>
      <c r="T28" s="222">
        <f t="shared" si="6"/>
        <v>1.0273214068394791</v>
      </c>
      <c r="U28" s="206">
        <f>F28-квітень!F28</f>
        <v>5</v>
      </c>
      <c r="V28" s="206">
        <f>G28-квітень!G28</f>
        <v>0.9400000000000261</v>
      </c>
      <c r="W28" s="221">
        <f t="shared" si="10"/>
        <v>-4.059999999999974</v>
      </c>
      <c r="X28" s="222">
        <f t="shared" si="13"/>
        <v>0.18800000000000522</v>
      </c>
      <c r="Y28" s="465">
        <f t="shared" si="15"/>
        <v>-0.11797959711108441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554.18</v>
      </c>
      <c r="H29" s="218">
        <f t="shared" si="9"/>
        <v>399.36999999999995</v>
      </c>
      <c r="I29" s="220">
        <f t="shared" si="12"/>
        <v>3.5797429106646854</v>
      </c>
      <c r="J29" s="221">
        <f t="shared" si="1"/>
        <v>-651.82</v>
      </c>
      <c r="K29" s="222">
        <f t="shared" si="14"/>
        <v>0.45951907131011605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32.93</v>
      </c>
      <c r="S29" s="221">
        <f t="shared" si="5"/>
        <v>521.25</v>
      </c>
      <c r="T29" s="222">
        <f t="shared" si="6"/>
        <v>16.82903127846948</v>
      </c>
      <c r="U29" s="206">
        <f>F29-квітень!F29</f>
        <v>7</v>
      </c>
      <c r="V29" s="206">
        <f>G29-квітень!G29</f>
        <v>23.779999999999973</v>
      </c>
      <c r="W29" s="221">
        <f t="shared" si="10"/>
        <v>16.779999999999973</v>
      </c>
      <c r="X29" s="222">
        <f t="shared" si="13"/>
        <v>3.3971428571428532</v>
      </c>
      <c r="Y29" s="465">
        <f t="shared" si="15"/>
        <v>15.854076145807674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604.96</v>
      </c>
      <c r="H30" s="218">
        <f t="shared" si="9"/>
        <v>259.87000000000006</v>
      </c>
      <c r="I30" s="220">
        <f t="shared" si="12"/>
        <v>1.7530499290040282</v>
      </c>
      <c r="J30" s="221">
        <f t="shared" si="1"/>
        <v>-1750.04</v>
      </c>
      <c r="K30" s="222">
        <f t="shared" si="14"/>
        <v>0.2568832271762208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90.38</v>
      </c>
      <c r="S30" s="221">
        <f t="shared" si="5"/>
        <v>514.58</v>
      </c>
      <c r="T30" s="222">
        <f t="shared" si="6"/>
        <v>6.693516264660324</v>
      </c>
      <c r="U30" s="206">
        <f>F30-квітень!F30</f>
        <v>15</v>
      </c>
      <c r="V30" s="206">
        <f>G30-квітень!G30</f>
        <v>2.240000000000009</v>
      </c>
      <c r="W30" s="221">
        <f t="shared" si="10"/>
        <v>-12.759999999999991</v>
      </c>
      <c r="X30" s="222">
        <f t="shared" si="13"/>
        <v>0.14933333333333393</v>
      </c>
      <c r="Y30" s="465">
        <f t="shared" si="15"/>
        <v>5.632824901075142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11339.17</v>
      </c>
      <c r="H31" s="218">
        <f t="shared" si="9"/>
        <v>113.3700000000008</v>
      </c>
      <c r="I31" s="220">
        <f t="shared" si="12"/>
        <v>1.010099057528194</v>
      </c>
      <c r="J31" s="221">
        <f t="shared" si="1"/>
        <v>-13567.83</v>
      </c>
      <c r="K31" s="222">
        <f t="shared" si="14"/>
        <v>0.45526036857108443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9848.39</v>
      </c>
      <c r="S31" s="221">
        <f t="shared" si="5"/>
        <v>1490.7800000000007</v>
      </c>
      <c r="T31" s="222">
        <f t="shared" si="6"/>
        <v>1.1513729655304066</v>
      </c>
      <c r="U31" s="206">
        <f>F31-квітень!F31</f>
        <v>600</v>
      </c>
      <c r="V31" s="206">
        <f>G31-квітень!G31</f>
        <v>73.06999999999971</v>
      </c>
      <c r="W31" s="221"/>
      <c r="X31" s="222">
        <f t="shared" si="13"/>
        <v>0.12178333333333285</v>
      </c>
      <c r="Y31" s="465">
        <f t="shared" si="15"/>
        <v>0.0025806802930354866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493.46</v>
      </c>
      <c r="H32" s="170">
        <f t="shared" si="9"/>
        <v>319.42999999999995</v>
      </c>
      <c r="I32" s="211">
        <f t="shared" si="12"/>
        <v>2.8354881342297302</v>
      </c>
      <c r="J32" s="171">
        <f t="shared" si="1"/>
        <v>211.45999999999998</v>
      </c>
      <c r="K32" s="180">
        <f t="shared" si="14"/>
        <v>1.7498581560283688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-45.48</v>
      </c>
      <c r="S32" s="121">
        <f t="shared" si="5"/>
        <v>538.9399999999999</v>
      </c>
      <c r="T32" s="150">
        <f t="shared" si="6"/>
        <v>-10.850043975373792</v>
      </c>
      <c r="U32" s="136">
        <f>F32-квітень!F32</f>
        <v>2</v>
      </c>
      <c r="V32" s="124">
        <f>G32-квітень!G32</f>
        <v>32.22999999999996</v>
      </c>
      <c r="W32" s="116">
        <f t="shared" si="10"/>
        <v>30.22999999999996</v>
      </c>
      <c r="X32" s="180">
        <f t="shared" si="13"/>
        <v>16.11499999999998</v>
      </c>
      <c r="Y32" s="198">
        <f t="shared" si="15"/>
        <v>-11.2870771093043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153.57</v>
      </c>
      <c r="H33" s="71">
        <f t="shared" si="9"/>
        <v>125.72</v>
      </c>
      <c r="I33" s="209">
        <f t="shared" si="12"/>
        <v>5.514183123877917</v>
      </c>
      <c r="J33" s="72">
        <f t="shared" si="1"/>
        <v>53.56999999999999</v>
      </c>
      <c r="K33" s="75">
        <f t="shared" si="14"/>
        <v>1.5356999999999998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-193.4</v>
      </c>
      <c r="S33" s="72">
        <f t="shared" si="5"/>
        <v>346.97</v>
      </c>
      <c r="T33" s="75">
        <f t="shared" si="6"/>
        <v>-0.7940537745604963</v>
      </c>
      <c r="U33" s="73">
        <f>F33-квітень!F33</f>
        <v>0</v>
      </c>
      <c r="V33" s="98">
        <f>G33-квітень!G33</f>
        <v>32.22999999999999</v>
      </c>
      <c r="W33" s="74">
        <f t="shared" si="10"/>
        <v>32.22999999999999</v>
      </c>
      <c r="X33" s="75" t="e">
        <f t="shared" si="13"/>
        <v>#DIV/0!</v>
      </c>
      <c r="Y33" s="465">
        <f t="shared" si="15"/>
        <v>-1.208372634354994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339.89</v>
      </c>
      <c r="H34" s="71">
        <f t="shared" si="9"/>
        <v>193.70999999999998</v>
      </c>
      <c r="I34" s="209">
        <f t="shared" si="12"/>
        <v>2.325147078943768</v>
      </c>
      <c r="J34" s="72">
        <f t="shared" si="1"/>
        <v>157.89</v>
      </c>
      <c r="K34" s="75">
        <f t="shared" si="14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6"/>
        <v>2.2977961060032452</v>
      </c>
      <c r="U34" s="73">
        <f>F34-квітень!F34</f>
        <v>2</v>
      </c>
      <c r="V34" s="98">
        <f>G34-квітень!G34</f>
        <v>0</v>
      </c>
      <c r="W34" s="74"/>
      <c r="X34" s="75">
        <f t="shared" si="13"/>
        <v>0</v>
      </c>
      <c r="Y34" s="465">
        <f t="shared" si="15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59788.61</v>
      </c>
      <c r="H35" s="102">
        <f t="shared" si="9"/>
        <v>-13876.87000000001</v>
      </c>
      <c r="I35" s="211">
        <f t="shared" si="12"/>
        <v>0.8116231646084433</v>
      </c>
      <c r="J35" s="171">
        <f t="shared" si="1"/>
        <v>-127987.39</v>
      </c>
      <c r="K35" s="180">
        <f t="shared" si="14"/>
        <v>0.318403896131561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71641.57</v>
      </c>
      <c r="S35" s="122">
        <f t="shared" si="5"/>
        <v>-11852.960000000006</v>
      </c>
      <c r="T35" s="149">
        <f t="shared" si="6"/>
        <v>0.8345519228570786</v>
      </c>
      <c r="U35" s="136">
        <f>F35-квітень!F35</f>
        <v>15284.000000000007</v>
      </c>
      <c r="V35" s="124">
        <f>G35-квітень!G35</f>
        <v>1457.0900000000038</v>
      </c>
      <c r="W35" s="116">
        <f t="shared" si="10"/>
        <v>-13826.910000000003</v>
      </c>
      <c r="X35" s="180">
        <f t="shared" si="13"/>
        <v>0.09533433656110986</v>
      </c>
      <c r="Y35" s="198">
        <f t="shared" si="15"/>
        <v>-0.20190185707014074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24279.230000000003</v>
      </c>
      <c r="G36" s="139">
        <f>G38+G40</f>
        <v>18270.9</v>
      </c>
      <c r="H36" s="158">
        <f t="shared" si="9"/>
        <v>-6008.330000000002</v>
      </c>
      <c r="I36" s="212">
        <f t="shared" si="12"/>
        <v>0.7525321025419669</v>
      </c>
      <c r="J36" s="176">
        <f t="shared" si="1"/>
        <v>-42419.1</v>
      </c>
      <c r="K36" s="191">
        <f t="shared" si="14"/>
        <v>0.30105289174493327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24151.24</v>
      </c>
      <c r="S36" s="140">
        <f t="shared" si="5"/>
        <v>-5880.34</v>
      </c>
      <c r="T36" s="162">
        <f t="shared" si="6"/>
        <v>0.7565201621117591</v>
      </c>
      <c r="U36" s="167">
        <f>F36-квітень!F36</f>
        <v>4984</v>
      </c>
      <c r="V36" s="167">
        <f>G36-квітень!G36</f>
        <v>274.9900000000016</v>
      </c>
      <c r="W36" s="176">
        <f t="shared" si="10"/>
        <v>-4709.009999999998</v>
      </c>
      <c r="X36" s="191">
        <f aca="true" t="shared" si="17" ref="X36:X41">V36/U36*100</f>
        <v>5.517455858748026</v>
      </c>
      <c r="Y36" s="197">
        <f t="shared" si="15"/>
        <v>-0.2789919838707132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49386.25</v>
      </c>
      <c r="G37" s="139">
        <f t="shared" si="16"/>
        <v>41517.71000000001</v>
      </c>
      <c r="H37" s="158">
        <f t="shared" si="9"/>
        <v>-7868.539999999994</v>
      </c>
      <c r="I37" s="212">
        <f t="shared" si="12"/>
        <v>0.8406734668050319</v>
      </c>
      <c r="J37" s="176">
        <f t="shared" si="1"/>
        <v>-85568.29</v>
      </c>
      <c r="K37" s="191">
        <f t="shared" si="14"/>
        <v>0.3266898792943362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47490.229999999996</v>
      </c>
      <c r="S37" s="140">
        <f t="shared" si="5"/>
        <v>-5972.5199999999895</v>
      </c>
      <c r="T37" s="162">
        <f t="shared" si="6"/>
        <v>0.8742368693518648</v>
      </c>
      <c r="U37" s="167">
        <f>F37-квітень!F37</f>
        <v>10300</v>
      </c>
      <c r="V37" s="167">
        <f>G37-квітень!G37</f>
        <v>1182.1000000000058</v>
      </c>
      <c r="W37" s="176">
        <f t="shared" si="10"/>
        <v>-9117.899999999994</v>
      </c>
      <c r="X37" s="191">
        <f>V37/U37</f>
        <v>0.11476699029126271</v>
      </c>
      <c r="Y37" s="197">
        <f t="shared" si="15"/>
        <v>-0.16266719291231235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17905.29</v>
      </c>
      <c r="H38" s="218">
        <f t="shared" si="9"/>
        <v>-5279.110000000001</v>
      </c>
      <c r="I38" s="220">
        <f t="shared" si="12"/>
        <v>0.772299045910181</v>
      </c>
      <c r="J38" s="221">
        <f t="shared" si="1"/>
        <v>-39384.71</v>
      </c>
      <c r="K38" s="222">
        <f t="shared" si="14"/>
        <v>0.3125377901902601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23545.81</v>
      </c>
      <c r="S38" s="221">
        <f t="shared" si="5"/>
        <v>-5640.52</v>
      </c>
      <c r="T38" s="222">
        <f t="shared" si="6"/>
        <v>0.7604448519715398</v>
      </c>
      <c r="U38" s="206">
        <f>F38-квітень!F38</f>
        <v>4700</v>
      </c>
      <c r="V38" s="206">
        <f>G38-квітень!G38</f>
        <v>252.6800000000003</v>
      </c>
      <c r="W38" s="221">
        <f t="shared" si="10"/>
        <v>-4447.32</v>
      </c>
      <c r="X38" s="222">
        <f t="shared" si="17"/>
        <v>5.376170212765963</v>
      </c>
      <c r="Y38" s="465">
        <f t="shared" si="15"/>
        <v>-0.27654879682700295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34791.12</v>
      </c>
      <c r="H39" s="218">
        <f t="shared" si="9"/>
        <v>-6802.3299999999945</v>
      </c>
      <c r="I39" s="220">
        <f t="shared" si="12"/>
        <v>0.836456701716256</v>
      </c>
      <c r="J39" s="221">
        <f t="shared" si="1"/>
        <v>-71194.88</v>
      </c>
      <c r="K39" s="222">
        <f t="shared" si="14"/>
        <v>0.3282614684958391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39491.46</v>
      </c>
      <c r="S39" s="221">
        <f t="shared" si="5"/>
        <v>-4700.3399999999965</v>
      </c>
      <c r="T39" s="222">
        <f t="shared" si="6"/>
        <v>0.8809783178439086</v>
      </c>
      <c r="U39" s="206">
        <f>F39-квітень!F39</f>
        <v>8600</v>
      </c>
      <c r="V39" s="206">
        <f>G39-квітень!G39</f>
        <v>883.8400000000038</v>
      </c>
      <c r="W39" s="221">
        <f t="shared" si="10"/>
        <v>-7716.159999999996</v>
      </c>
      <c r="X39" s="222">
        <f t="shared" si="17"/>
        <v>10.277209302325625</v>
      </c>
      <c r="Y39" s="465">
        <f t="shared" si="15"/>
        <v>-0.15610373058541405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365.61</v>
      </c>
      <c r="H40" s="218">
        <f t="shared" si="9"/>
        <v>-729.2199999999999</v>
      </c>
      <c r="I40" s="220">
        <f t="shared" si="12"/>
        <v>0.33394225587534143</v>
      </c>
      <c r="J40" s="221">
        <f t="shared" si="1"/>
        <v>-3034.39</v>
      </c>
      <c r="K40" s="222">
        <f t="shared" si="14"/>
        <v>0.10753235294117647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605.43</v>
      </c>
      <c r="S40" s="221">
        <f t="shared" si="5"/>
        <v>-239.81999999999994</v>
      </c>
      <c r="T40" s="222">
        <f t="shared" si="6"/>
        <v>0.6038848421782865</v>
      </c>
      <c r="U40" s="206">
        <f>F40-квітень!F40</f>
        <v>283.9999999999999</v>
      </c>
      <c r="V40" s="206">
        <f>G40-квітень!G40</f>
        <v>22.310000000000002</v>
      </c>
      <c r="W40" s="221">
        <f t="shared" si="10"/>
        <v>-261.6899999999999</v>
      </c>
      <c r="X40" s="222">
        <f t="shared" si="17"/>
        <v>7.8556338028169055</v>
      </c>
      <c r="Y40" s="465">
        <f t="shared" si="15"/>
        <v>-0.407285617368947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6726.59</v>
      </c>
      <c r="H41" s="218">
        <f t="shared" si="9"/>
        <v>-1066.21</v>
      </c>
      <c r="I41" s="220">
        <f t="shared" si="12"/>
        <v>0.8631801149779283</v>
      </c>
      <c r="J41" s="221">
        <f t="shared" si="1"/>
        <v>-14373.41</v>
      </c>
      <c r="K41" s="222">
        <f t="shared" si="14"/>
        <v>0.31879573459715643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7998.77</v>
      </c>
      <c r="S41" s="221">
        <f t="shared" si="5"/>
        <v>-1272.1800000000003</v>
      </c>
      <c r="T41" s="222">
        <f t="shared" si="6"/>
        <v>0.8409530465309041</v>
      </c>
      <c r="U41" s="206">
        <f>F41-квітень!F41</f>
        <v>1700</v>
      </c>
      <c r="V41" s="206">
        <f>G41-квітень!G41</f>
        <v>298.2600000000002</v>
      </c>
      <c r="W41" s="221">
        <f t="shared" si="10"/>
        <v>-1401.7399999999998</v>
      </c>
      <c r="X41" s="222">
        <f t="shared" si="17"/>
        <v>17.544705882352954</v>
      </c>
      <c r="Y41" s="465">
        <f t="shared" si="15"/>
        <v>-0.19505790867119654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69.15</v>
      </c>
      <c r="H43" s="102">
        <f t="shared" si="9"/>
        <v>-8.280000000000001</v>
      </c>
      <c r="I43" s="208">
        <f>G43/F43</f>
        <v>0.8930647036032545</v>
      </c>
      <c r="J43" s="108">
        <f t="shared" si="1"/>
        <v>-105.25</v>
      </c>
      <c r="K43" s="148">
        <f>G43/E43</f>
        <v>0.39650229357798167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75.23</v>
      </c>
      <c r="S43" s="108">
        <f t="shared" si="5"/>
        <v>-6.079999999999998</v>
      </c>
      <c r="T43" s="148">
        <f aca="true" t="shared" si="18" ref="T43:T51">G43/R43</f>
        <v>0.9191811777216536</v>
      </c>
      <c r="U43" s="107">
        <f>F43-квітень!F43</f>
        <v>27.000000000000007</v>
      </c>
      <c r="V43" s="110">
        <f>G43-квітень!G43</f>
        <v>1.190000000000012</v>
      </c>
      <c r="W43" s="111">
        <f t="shared" si="10"/>
        <v>-25.809999999999995</v>
      </c>
      <c r="X43" s="148">
        <f>V43/U43</f>
        <v>0.0440740740740745</v>
      </c>
      <c r="Y43" s="466">
        <f t="shared" si="15"/>
        <v>-0.19292187035894837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56.39</v>
      </c>
      <c r="H44" s="71">
        <f t="shared" si="9"/>
        <v>8.490000000000002</v>
      </c>
      <c r="I44" s="209">
        <f>G44/F44</f>
        <v>1.1772442588726515</v>
      </c>
      <c r="J44" s="72">
        <f t="shared" si="1"/>
        <v>-44.510000000000005</v>
      </c>
      <c r="K44" s="75">
        <f>G44/E44</f>
        <v>0.5588701684836471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44.26</v>
      </c>
      <c r="S44" s="72">
        <f t="shared" si="5"/>
        <v>12.130000000000003</v>
      </c>
      <c r="T44" s="75">
        <f t="shared" si="18"/>
        <v>1.2740623587889743</v>
      </c>
      <c r="U44" s="73">
        <f>F44-квітень!F44</f>
        <v>17</v>
      </c>
      <c r="V44" s="98">
        <f>G44-квітень!G44</f>
        <v>0.3400000000000034</v>
      </c>
      <c r="W44" s="74">
        <f t="shared" si="10"/>
        <v>-16.659999999999997</v>
      </c>
      <c r="X44" s="75">
        <f>V44/U44</f>
        <v>0.0200000000000002</v>
      </c>
      <c r="Y44" s="465">
        <f t="shared" si="15"/>
        <v>0.21352000015958605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12.76</v>
      </c>
      <c r="H45" s="71">
        <f t="shared" si="9"/>
        <v>-16.770000000000003</v>
      </c>
      <c r="I45" s="209">
        <f>G45/F45</f>
        <v>0.43210294615645106</v>
      </c>
      <c r="J45" s="72">
        <f t="shared" si="1"/>
        <v>-60.74</v>
      </c>
      <c r="K45" s="75">
        <f>G45/E45</f>
        <v>0.17360544217687074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-18.21</v>
      </c>
      <c r="T45" s="75">
        <f t="shared" si="18"/>
        <v>0.41201162415240555</v>
      </c>
      <c r="U45" s="73">
        <f>F45-квітень!F45</f>
        <v>10</v>
      </c>
      <c r="V45" s="98">
        <f>G45-квітень!G45</f>
        <v>0.8499999999999996</v>
      </c>
      <c r="W45" s="74">
        <f t="shared" si="10"/>
        <v>-9.15</v>
      </c>
      <c r="X45" s="75">
        <f>V45/U45</f>
        <v>0.08499999999999996</v>
      </c>
      <c r="Y45" s="465">
        <f t="shared" si="15"/>
        <v>-0.7796226170927306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-26.77</v>
      </c>
      <c r="S46" s="108">
        <f t="shared" si="5"/>
        <v>25.59</v>
      </c>
      <c r="T46" s="148">
        <f t="shared" si="18"/>
        <v>0.04407919312663429</v>
      </c>
      <c r="U46" s="107">
        <f>F46-квітень!F46</f>
        <v>0</v>
      </c>
      <c r="V46" s="110">
        <f>G46-квітень!G46</f>
        <v>0</v>
      </c>
      <c r="W46" s="111">
        <f t="shared" si="10"/>
        <v>0</v>
      </c>
      <c r="X46" s="148"/>
      <c r="Y46" s="197">
        <f t="shared" si="15"/>
        <v>0.04407919312663429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115256.76</v>
      </c>
      <c r="G47" s="113">
        <v>100836.76</v>
      </c>
      <c r="H47" s="102">
        <f t="shared" si="9"/>
        <v>-14420</v>
      </c>
      <c r="I47" s="208">
        <f>G47/F47</f>
        <v>0.8748880325978277</v>
      </c>
      <c r="J47" s="108">
        <f t="shared" si="1"/>
        <v>-153714.03999999998</v>
      </c>
      <c r="K47" s="148">
        <f>G47/E47</f>
        <v>0.3961360954277103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96524.99</v>
      </c>
      <c r="S47" s="123">
        <f t="shared" si="5"/>
        <v>4311.7699999999895</v>
      </c>
      <c r="T47" s="160">
        <f t="shared" si="18"/>
        <v>1.044669986497797</v>
      </c>
      <c r="U47" s="107">
        <f>F47-квітень!F47</f>
        <v>26100</v>
      </c>
      <c r="V47" s="110">
        <f>G47-квітень!G47</f>
        <v>9522.220000000001</v>
      </c>
      <c r="W47" s="111">
        <f t="shared" si="10"/>
        <v>-16577.78</v>
      </c>
      <c r="X47" s="148">
        <f>V47/U47</f>
        <v>0.36483601532567056</v>
      </c>
      <c r="Y47" s="197">
        <f t="shared" si="15"/>
        <v>-0.09493164798710696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F48-квітень!F48</f>
        <v>0</v>
      </c>
      <c r="V48" s="98">
        <f>G48-квітень!G48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19224.16</v>
      </c>
      <c r="H49" s="71">
        <f>G49-F49</f>
        <v>-6259.709999999999</v>
      </c>
      <c r="I49" s="209">
        <f>G49/F49</f>
        <v>0.7543658007987013</v>
      </c>
      <c r="J49" s="72">
        <f t="shared" si="1"/>
        <v>-36490.84</v>
      </c>
      <c r="K49" s="75">
        <f>G49/E49</f>
        <v>0.34504460199228215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19261.69</v>
      </c>
      <c r="S49" s="85">
        <f t="shared" si="5"/>
        <v>-37.529999999998836</v>
      </c>
      <c r="T49" s="153">
        <f t="shared" si="18"/>
        <v>0.9980515728370668</v>
      </c>
      <c r="U49" s="73">
        <f>F49-квітень!F49</f>
        <v>6500</v>
      </c>
      <c r="V49" s="98">
        <f>G49-квітень!G49</f>
        <v>1301</v>
      </c>
      <c r="W49" s="74">
        <f t="shared" si="10"/>
        <v>-5199</v>
      </c>
      <c r="X49" s="75">
        <f>V49/U49</f>
        <v>0.20015384615384615</v>
      </c>
      <c r="Y49" s="197">
        <f t="shared" si="15"/>
        <v>-0.23922533868525353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89740.49</v>
      </c>
      <c r="G50" s="94">
        <v>81580.19</v>
      </c>
      <c r="H50" s="71">
        <f>G50-F50</f>
        <v>-8160.300000000003</v>
      </c>
      <c r="I50" s="209">
        <f>G50/F50</f>
        <v>0.9090678020590259</v>
      </c>
      <c r="J50" s="72">
        <f t="shared" si="1"/>
        <v>-117174.81</v>
      </c>
      <c r="K50" s="75">
        <f>G50/E50</f>
        <v>0.41045603884179016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77240.19</v>
      </c>
      <c r="S50" s="85">
        <f t="shared" si="5"/>
        <v>4340</v>
      </c>
      <c r="T50" s="153">
        <f t="shared" si="18"/>
        <v>1.0561883651503188</v>
      </c>
      <c r="U50" s="73">
        <f>F50-квітень!F50</f>
        <v>19600</v>
      </c>
      <c r="V50" s="98">
        <f>G50-квітень!G50</f>
        <v>8221.220000000001</v>
      </c>
      <c r="W50" s="74">
        <f t="shared" si="10"/>
        <v>-11378.779999999999</v>
      </c>
      <c r="X50" s="75">
        <f>V50/U50</f>
        <v>0.41945000000000005</v>
      </c>
      <c r="Y50" s="197">
        <f t="shared" si="15"/>
        <v>-0.05872010190509114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8"/>
        <v>1.4036379385015156</v>
      </c>
      <c r="U51" s="73">
        <f>F51-квітень!F51</f>
        <v>0</v>
      </c>
      <c r="V51" s="98">
        <f>G51-квітень!G51</f>
        <v>0</v>
      </c>
      <c r="W51" s="74">
        <f t="shared" si="10"/>
        <v>0</v>
      </c>
      <c r="X51" s="75"/>
      <c r="Y51" s="197">
        <f t="shared" si="15"/>
        <v>0.2089018746245379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F52-квітень!F52</f>
        <v>0</v>
      </c>
      <c r="V52" s="99">
        <f>G52-квітень!G52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47248.9</v>
      </c>
      <c r="F53" s="103">
        <f>F54+F55+F56+F57+F58+F60+F62+F63+F64+F65+F66+F71+F72+F76+F59+F61+F77</f>
        <v>19247.91</v>
      </c>
      <c r="G53" s="103">
        <f>G54+G55+G56+G57+G58+G60+G62+G63+G64+G65+G66+G71+G72+G76+G59+G61+G77</f>
        <v>19323.36</v>
      </c>
      <c r="H53" s="315">
        <f aca="true" t="shared" si="19" ref="H53:H79">G53-F53</f>
        <v>75.45000000000073</v>
      </c>
      <c r="I53" s="143">
        <f aca="true" t="shared" si="20" ref="I53:I72">G53/F53</f>
        <v>1.0039199061092867</v>
      </c>
      <c r="J53" s="104">
        <f>G53-E53</f>
        <v>-27925.54</v>
      </c>
      <c r="K53" s="156">
        <f aca="true" t="shared" si="21" ref="K53:K72">G53/E53</f>
        <v>0.40896952098355727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27355.12</v>
      </c>
      <c r="S53" s="103">
        <f t="shared" si="5"/>
        <v>-8031.759999999998</v>
      </c>
      <c r="T53" s="143">
        <f>G53/R53</f>
        <v>0.7063891512813689</v>
      </c>
      <c r="U53" s="103">
        <f>U54+U55+U56+U57+U58+U60+U62+U63+U64+U65+U66+U71+U72+U76+U59+U61+U77</f>
        <v>4857.360000000001</v>
      </c>
      <c r="V53" s="103">
        <f>V54+V55+V56+V57+V58+V60+V62+V63+V64+V65+V66+V71+V72+V76+V59+V61+V77</f>
        <v>3187.5700000000015</v>
      </c>
      <c r="W53" s="467">
        <f aca="true" t="shared" si="22" ref="W53:W79">V53-U53</f>
        <v>-1669.789999999999</v>
      </c>
      <c r="X53" s="143">
        <f>V53/U53</f>
        <v>0.6562350741966833</v>
      </c>
      <c r="Y53" s="197">
        <f t="shared" si="15"/>
        <v>0.025382627591446938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1106.11</v>
      </c>
      <c r="G54" s="106">
        <v>198.07</v>
      </c>
      <c r="H54" s="102">
        <f t="shared" si="19"/>
        <v>-908.04</v>
      </c>
      <c r="I54" s="213">
        <f t="shared" si="20"/>
        <v>0.1790689895218378</v>
      </c>
      <c r="J54" s="115">
        <f>G54-E54</f>
        <v>-2451.93</v>
      </c>
      <c r="K54" s="155">
        <f t="shared" si="21"/>
        <v>0.0747433962264151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-2006.7</v>
      </c>
      <c r="T54" s="155">
        <f>G54/R54</f>
        <v>0.08983703515559446</v>
      </c>
      <c r="U54" s="107">
        <f>F54-квітень!F54</f>
        <v>1100</v>
      </c>
      <c r="V54" s="110">
        <f>G54-квітень!G54</f>
        <v>139.16</v>
      </c>
      <c r="W54" s="111">
        <f t="shared" si="22"/>
        <v>-960.84</v>
      </c>
      <c r="X54" s="155">
        <f>V54/U54</f>
        <v>0.1265090909090909</v>
      </c>
      <c r="Y54" s="197">
        <f t="shared" si="15"/>
        <v>-0.9162526548928497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1500.08</v>
      </c>
      <c r="G55" s="106">
        <v>3366.37</v>
      </c>
      <c r="H55" s="102">
        <f t="shared" si="19"/>
        <v>1866.29</v>
      </c>
      <c r="I55" s="213">
        <f t="shared" si="20"/>
        <v>2.2441269798944057</v>
      </c>
      <c r="J55" s="115">
        <f aca="true" t="shared" si="23" ref="J55:J79">G55-E55</f>
        <v>-1633.63</v>
      </c>
      <c r="K55" s="155">
        <f t="shared" si="21"/>
        <v>0.6732739999999999</v>
      </c>
      <c r="L55" s="115"/>
      <c r="M55" s="115"/>
      <c r="N55" s="115"/>
      <c r="O55" s="115">
        <v>27997.6</v>
      </c>
      <c r="P55" s="115">
        <f aca="true" t="shared" si="24" ref="P55:P72">E55-O55</f>
        <v>-22997.6</v>
      </c>
      <c r="Q55" s="155">
        <f aca="true" t="shared" si="25" ref="Q55:Q72">E55/O55</f>
        <v>0.17858673600594338</v>
      </c>
      <c r="R55" s="115">
        <v>10479.16</v>
      </c>
      <c r="S55" s="115">
        <f t="shared" si="5"/>
        <v>-7112.79</v>
      </c>
      <c r="T55" s="155">
        <f aca="true" t="shared" si="26" ref="T55:T79">G55/R55</f>
        <v>0.3212442600361098</v>
      </c>
      <c r="U55" s="107">
        <f>F55-квітень!F55</f>
        <v>499.9999999999999</v>
      </c>
      <c r="V55" s="110">
        <f>G55-квітень!G55</f>
        <v>1129.1999999999998</v>
      </c>
      <c r="W55" s="111">
        <f t="shared" si="22"/>
        <v>629.1999999999999</v>
      </c>
      <c r="X55" s="155">
        <f aca="true" t="shared" si="27" ref="X55:X78">V55/U55</f>
        <v>2.2584</v>
      </c>
      <c r="Y55" s="197">
        <f t="shared" si="15"/>
        <v>0.1426575240301664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 t="shared" si="19"/>
        <v>-4.18</v>
      </c>
      <c r="I56" s="213">
        <f t="shared" si="20"/>
        <v>0.9253571428571429</v>
      </c>
      <c r="J56" s="115">
        <f t="shared" si="23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4"/>
        <v>4.699999999999989</v>
      </c>
      <c r="Q56" s="155">
        <f t="shared" si="25"/>
        <v>1.030658838878017</v>
      </c>
      <c r="R56" s="115">
        <v>92.8</v>
      </c>
      <c r="S56" s="115">
        <f t="shared" si="5"/>
        <v>-40.98</v>
      </c>
      <c r="T56" s="155">
        <f t="shared" si="26"/>
        <v>0.5584051724137932</v>
      </c>
      <c r="U56" s="107">
        <f>F56-квітень!F56</f>
        <v>14</v>
      </c>
      <c r="V56" s="110">
        <f>G56-квітень!G56</f>
        <v>0</v>
      </c>
      <c r="W56" s="111">
        <f t="shared" si="22"/>
        <v>-14</v>
      </c>
      <c r="X56" s="155">
        <f t="shared" si="27"/>
        <v>0</v>
      </c>
      <c r="Y56" s="197">
        <f t="shared" si="15"/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 t="shared" si="19"/>
        <v>-3.98</v>
      </c>
      <c r="I57" s="213">
        <f t="shared" si="20"/>
        <v>0.33666666666666667</v>
      </c>
      <c r="J57" s="115">
        <f t="shared" si="23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4"/>
        <v>0.05000000000000071</v>
      </c>
      <c r="Q57" s="225">
        <f t="shared" si="25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 t="shared" si="22"/>
        <v>-1</v>
      </c>
      <c r="X57" s="155">
        <f t="shared" si="27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320.81</v>
      </c>
      <c r="H58" s="102">
        <f t="shared" si="19"/>
        <v>52.379999999999995</v>
      </c>
      <c r="I58" s="213">
        <f t="shared" si="20"/>
        <v>1.1951346719815221</v>
      </c>
      <c r="J58" s="115">
        <f t="shared" si="23"/>
        <v>-423.19</v>
      </c>
      <c r="K58" s="155">
        <f t="shared" si="21"/>
        <v>0.4311962365591398</v>
      </c>
      <c r="L58" s="115"/>
      <c r="M58" s="115"/>
      <c r="N58" s="115"/>
      <c r="O58" s="115">
        <v>705.31</v>
      </c>
      <c r="P58" s="115">
        <f t="shared" si="24"/>
        <v>38.690000000000055</v>
      </c>
      <c r="Q58" s="155">
        <f t="shared" si="25"/>
        <v>1.0548553118486907</v>
      </c>
      <c r="R58" s="115">
        <v>442.26</v>
      </c>
      <c r="S58" s="115">
        <f t="shared" si="5"/>
        <v>-121.44999999999999</v>
      </c>
      <c r="T58" s="155">
        <f t="shared" si="26"/>
        <v>0.7253877809433366</v>
      </c>
      <c r="U58" s="107">
        <f>F58-квітень!F58</f>
        <v>60</v>
      </c>
      <c r="V58" s="110">
        <f>G58-квітень!G58</f>
        <v>75.03</v>
      </c>
      <c r="W58" s="111">
        <f t="shared" si="22"/>
        <v>15.030000000000001</v>
      </c>
      <c r="X58" s="155">
        <f t="shared" si="27"/>
        <v>1.2505</v>
      </c>
      <c r="Y58" s="197">
        <f t="shared" si="15"/>
        <v>-0.3294675309053542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39.22</v>
      </c>
      <c r="H59" s="102">
        <f t="shared" si="19"/>
        <v>-0.7800000000000011</v>
      </c>
      <c r="I59" s="213">
        <f t="shared" si="20"/>
        <v>0.9804999999999999</v>
      </c>
      <c r="J59" s="115">
        <f t="shared" si="23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4"/>
        <v>1.2000000000000028</v>
      </c>
      <c r="Q59" s="155">
        <f t="shared" si="25"/>
        <v>1.010498687664042</v>
      </c>
      <c r="R59" s="115">
        <v>1.01</v>
      </c>
      <c r="S59" s="115">
        <f t="shared" si="5"/>
        <v>38.21</v>
      </c>
      <c r="T59" s="155">
        <f t="shared" si="26"/>
        <v>38.83168316831683</v>
      </c>
      <c r="U59" s="107">
        <f>F59-квітень!F59</f>
        <v>10</v>
      </c>
      <c r="V59" s="110">
        <f>G59-квітень!G59</f>
        <v>0</v>
      </c>
      <c r="W59" s="111">
        <f t="shared" si="22"/>
        <v>-10</v>
      </c>
      <c r="X59" s="155">
        <f t="shared" si="27"/>
        <v>0</v>
      </c>
      <c r="Y59" s="197">
        <f t="shared" si="15"/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409.73</v>
      </c>
      <c r="H60" s="102">
        <f t="shared" si="19"/>
        <v>-88.26999999999998</v>
      </c>
      <c r="I60" s="213">
        <f t="shared" si="20"/>
        <v>0.8227510040160643</v>
      </c>
      <c r="J60" s="115">
        <f t="shared" si="23"/>
        <v>-874.27</v>
      </c>
      <c r="K60" s="155">
        <f t="shared" si="21"/>
        <v>0.3191043613707165</v>
      </c>
      <c r="L60" s="115"/>
      <c r="M60" s="115"/>
      <c r="N60" s="115"/>
      <c r="O60" s="115">
        <v>1205.14</v>
      </c>
      <c r="P60" s="115">
        <f t="shared" si="24"/>
        <v>78.8599999999999</v>
      </c>
      <c r="Q60" s="155">
        <f t="shared" si="25"/>
        <v>1.0654363808354215</v>
      </c>
      <c r="R60" s="115">
        <v>505.13</v>
      </c>
      <c r="S60" s="115">
        <f t="shared" si="5"/>
        <v>-95.39999999999998</v>
      </c>
      <c r="T60" s="155">
        <f t="shared" si="26"/>
        <v>0.8111377269217825</v>
      </c>
      <c r="U60" s="107">
        <f>F60-квітень!F60</f>
        <v>114</v>
      </c>
      <c r="V60" s="110">
        <f>G60-квітень!G60</f>
        <v>33.34000000000003</v>
      </c>
      <c r="W60" s="111">
        <f t="shared" si="22"/>
        <v>-80.65999999999997</v>
      </c>
      <c r="X60" s="155">
        <f t="shared" si="27"/>
        <v>0.29245614035087747</v>
      </c>
      <c r="Y60" s="197">
        <f t="shared" si="15"/>
        <v>-0.25429865391363893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3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4"/>
        <v>-23.38</v>
      </c>
      <c r="Q61" s="155">
        <f t="shared" si="25"/>
        <v>0</v>
      </c>
      <c r="R61" s="115">
        <v>0</v>
      </c>
      <c r="S61" s="115">
        <f t="shared" si="5"/>
        <v>0</v>
      </c>
      <c r="T61" s="155"/>
      <c r="U61" s="107">
        <f>F61-квітень!F61</f>
        <v>0</v>
      </c>
      <c r="V61" s="110">
        <f>G61-квітень!G61</f>
        <v>0</v>
      </c>
      <c r="W61" s="111">
        <f t="shared" si="22"/>
        <v>0</v>
      </c>
      <c r="X61" s="155" t="e">
        <f t="shared" si="27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9290</v>
      </c>
      <c r="G62" s="106">
        <v>9056.68</v>
      </c>
      <c r="H62" s="102">
        <f t="shared" si="19"/>
        <v>-233.3199999999997</v>
      </c>
      <c r="I62" s="213">
        <f t="shared" si="20"/>
        <v>0.9748848223896663</v>
      </c>
      <c r="J62" s="115">
        <f t="shared" si="23"/>
        <v>-12203.32</v>
      </c>
      <c r="K62" s="155">
        <f t="shared" si="21"/>
        <v>0.42599623706491063</v>
      </c>
      <c r="L62" s="115"/>
      <c r="M62" s="115"/>
      <c r="N62" s="115"/>
      <c r="O62" s="115">
        <v>20110.14</v>
      </c>
      <c r="P62" s="115">
        <f t="shared" si="24"/>
        <v>1149.8600000000006</v>
      </c>
      <c r="Q62" s="155">
        <f t="shared" si="25"/>
        <v>1.0571781200926498</v>
      </c>
      <c r="R62" s="115">
        <v>6250.27</v>
      </c>
      <c r="S62" s="115">
        <f t="shared" si="5"/>
        <v>2806.41</v>
      </c>
      <c r="T62" s="155">
        <f t="shared" si="26"/>
        <v>1.4490062029320332</v>
      </c>
      <c r="U62" s="107">
        <f>F62-квітень!F62</f>
        <v>1800</v>
      </c>
      <c r="V62" s="110">
        <f>G62-квітень!G62</f>
        <v>764.2200000000012</v>
      </c>
      <c r="W62" s="111">
        <f t="shared" si="22"/>
        <v>-1035.7799999999988</v>
      </c>
      <c r="X62" s="155">
        <f t="shared" si="27"/>
        <v>0.4245666666666673</v>
      </c>
      <c r="Y62" s="197">
        <f t="shared" si="15"/>
        <v>0.3918280828393834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294.33</v>
      </c>
      <c r="H63" s="102">
        <f t="shared" si="19"/>
        <v>-18.670000000000016</v>
      </c>
      <c r="I63" s="213">
        <f t="shared" si="20"/>
        <v>0.9403514376996804</v>
      </c>
      <c r="J63" s="115">
        <f t="shared" si="23"/>
        <v>-472.67</v>
      </c>
      <c r="K63" s="155">
        <f t="shared" si="21"/>
        <v>0.38374185136897</v>
      </c>
      <c r="L63" s="115"/>
      <c r="M63" s="115"/>
      <c r="N63" s="115"/>
      <c r="O63" s="115">
        <v>710.04</v>
      </c>
      <c r="P63" s="115">
        <f t="shared" si="24"/>
        <v>56.960000000000036</v>
      </c>
      <c r="Q63" s="155">
        <f t="shared" si="25"/>
        <v>1.0802208326291478</v>
      </c>
      <c r="R63" s="115">
        <v>216.35</v>
      </c>
      <c r="S63" s="115">
        <f t="shared" si="5"/>
        <v>77.97999999999999</v>
      </c>
      <c r="T63" s="155">
        <f t="shared" si="26"/>
        <v>1.3604344811647793</v>
      </c>
      <c r="U63" s="107">
        <f>F63-квітень!F63</f>
        <v>64</v>
      </c>
      <c r="V63" s="110">
        <f>G63-квітень!G63</f>
        <v>21.47999999999996</v>
      </c>
      <c r="W63" s="111">
        <f t="shared" si="22"/>
        <v>-42.52000000000004</v>
      </c>
      <c r="X63" s="155">
        <f t="shared" si="27"/>
        <v>0.3356249999999994</v>
      </c>
      <c r="Y63" s="197">
        <f t="shared" si="15"/>
        <v>0.28021364853563147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13.06</v>
      </c>
      <c r="H64" s="102">
        <f t="shared" si="19"/>
        <v>-2.9399999999999995</v>
      </c>
      <c r="I64" s="213">
        <f t="shared" si="20"/>
        <v>0.81625</v>
      </c>
      <c r="J64" s="115">
        <f t="shared" si="23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4"/>
        <v>2.5600000000000023</v>
      </c>
      <c r="Q64" s="155">
        <f t="shared" si="25"/>
        <v>1.0617760617760619</v>
      </c>
      <c r="R64" s="115">
        <v>12.32</v>
      </c>
      <c r="S64" s="115">
        <f t="shared" si="5"/>
        <v>0.7400000000000002</v>
      </c>
      <c r="T64" s="155">
        <f t="shared" si="26"/>
        <v>1.0600649350649352</v>
      </c>
      <c r="U64" s="107">
        <f>F64-квітень!F64</f>
        <v>4</v>
      </c>
      <c r="V64" s="110">
        <f>G64-квітень!G64</f>
        <v>0</v>
      </c>
      <c r="W64" s="111">
        <f t="shared" si="22"/>
        <v>-4</v>
      </c>
      <c r="X64" s="155">
        <f t="shared" si="27"/>
        <v>0</v>
      </c>
      <c r="Y64" s="197">
        <f t="shared" si="15"/>
        <v>-0.0017111267111267203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 t="shared" si="19"/>
        <v>339.3899999999999</v>
      </c>
      <c r="I65" s="213">
        <f t="shared" si="20"/>
        <v>1.135756</v>
      </c>
      <c r="J65" s="115">
        <f t="shared" si="23"/>
        <v>-3160.61</v>
      </c>
      <c r="K65" s="155">
        <f t="shared" si="21"/>
        <v>0.47323166666666666</v>
      </c>
      <c r="L65" s="115"/>
      <c r="M65" s="115"/>
      <c r="N65" s="115"/>
      <c r="O65" s="115">
        <v>6545.96</v>
      </c>
      <c r="P65" s="115">
        <f t="shared" si="24"/>
        <v>-545.96</v>
      </c>
      <c r="Q65" s="155">
        <f t="shared" si="25"/>
        <v>0.9165958850955398</v>
      </c>
      <c r="R65" s="115">
        <v>2721.32</v>
      </c>
      <c r="S65" s="115">
        <f t="shared" si="5"/>
        <v>118.06999999999971</v>
      </c>
      <c r="T65" s="155">
        <f t="shared" si="26"/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 t="shared" si="22"/>
        <v>123.69999999999982</v>
      </c>
      <c r="X65" s="155">
        <f t="shared" si="27"/>
        <v>1.2838067269306652</v>
      </c>
      <c r="Y65" s="197">
        <f t="shared" si="15"/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246.88</v>
      </c>
      <c r="H66" s="102">
        <f t="shared" si="19"/>
        <v>-97.25999999999999</v>
      </c>
      <c r="I66" s="213">
        <f t="shared" si="20"/>
        <v>0.7173824606264892</v>
      </c>
      <c r="J66" s="115">
        <f t="shared" si="23"/>
        <v>-619.12</v>
      </c>
      <c r="K66" s="155">
        <f t="shared" si="21"/>
        <v>0.285080831408776</v>
      </c>
      <c r="L66" s="115"/>
      <c r="M66" s="115"/>
      <c r="N66" s="115"/>
      <c r="O66" s="115">
        <v>896.22</v>
      </c>
      <c r="P66" s="115">
        <f t="shared" si="24"/>
        <v>-30.220000000000027</v>
      </c>
      <c r="Q66" s="155">
        <f t="shared" si="25"/>
        <v>0.9662806007453527</v>
      </c>
      <c r="R66" s="115">
        <v>333.52</v>
      </c>
      <c r="S66" s="115">
        <f t="shared" si="5"/>
        <v>-86.63999999999999</v>
      </c>
      <c r="T66" s="155">
        <f t="shared" si="26"/>
        <v>0.7402254737347086</v>
      </c>
      <c r="U66" s="107">
        <f>F66-квітень!F66</f>
        <v>74.5</v>
      </c>
      <c r="V66" s="110">
        <f>G66-квітень!G66</f>
        <v>14.629999999999995</v>
      </c>
      <c r="W66" s="111">
        <f t="shared" si="22"/>
        <v>-59.870000000000005</v>
      </c>
      <c r="X66" s="155">
        <f t="shared" si="27"/>
        <v>0.19637583892617444</v>
      </c>
      <c r="Y66" s="197">
        <f t="shared" si="15"/>
        <v>-0.22605512701064412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194.97</v>
      </c>
      <c r="H67" s="71">
        <f t="shared" si="19"/>
        <v>-91.45000000000002</v>
      </c>
      <c r="I67" s="209">
        <f t="shared" si="20"/>
        <v>0.6807136373158299</v>
      </c>
      <c r="J67" s="72">
        <f t="shared" si="23"/>
        <v>-533.23</v>
      </c>
      <c r="K67" s="75">
        <f t="shared" si="21"/>
        <v>0.26774237846745397</v>
      </c>
      <c r="L67" s="72"/>
      <c r="M67" s="72"/>
      <c r="N67" s="72"/>
      <c r="O67" s="72">
        <v>760.62</v>
      </c>
      <c r="P67" s="72">
        <f t="shared" si="24"/>
        <v>-32.41999999999996</v>
      </c>
      <c r="Q67" s="75">
        <f t="shared" si="25"/>
        <v>0.957376876758434</v>
      </c>
      <c r="R67" s="72">
        <v>290.38</v>
      </c>
      <c r="S67" s="203">
        <f t="shared" si="5"/>
        <v>-95.41</v>
      </c>
      <c r="T67" s="204">
        <f t="shared" si="26"/>
        <v>0.6714305392933397</v>
      </c>
      <c r="U67" s="73">
        <f>F67-квітень!F67</f>
        <v>63.00000000000003</v>
      </c>
      <c r="V67" s="98">
        <f>G67-квітень!G67</f>
        <v>10.460000000000008</v>
      </c>
      <c r="W67" s="74">
        <f t="shared" si="22"/>
        <v>-52.54000000000002</v>
      </c>
      <c r="X67" s="75">
        <f t="shared" si="27"/>
        <v>0.16603174603174609</v>
      </c>
      <c r="Y67" s="197">
        <f t="shared" si="15"/>
        <v>-0.28594633746509424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 t="shared" si="19"/>
        <v>-0.21</v>
      </c>
      <c r="I68" s="209">
        <f t="shared" si="20"/>
        <v>0.3</v>
      </c>
      <c r="J68" s="72">
        <f t="shared" si="23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4"/>
        <v>0.8200000000000001</v>
      </c>
      <c r="Q68" s="75">
        <f t="shared" si="25"/>
        <v>5.555555555555555</v>
      </c>
      <c r="R68" s="72">
        <v>0.15</v>
      </c>
      <c r="S68" s="203">
        <f t="shared" si="5"/>
        <v>-0.06</v>
      </c>
      <c r="T68" s="204">
        <f t="shared" si="26"/>
        <v>0.6</v>
      </c>
      <c r="U68" s="73">
        <f>F68-квітень!F68</f>
        <v>0.09999999999999998</v>
      </c>
      <c r="V68" s="98">
        <f>G68-квітень!G68</f>
        <v>0.03</v>
      </c>
      <c r="W68" s="74">
        <f t="shared" si="22"/>
        <v>-0.06999999999999998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3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4"/>
        <v>0</v>
      </c>
      <c r="Q69" s="75" t="e">
        <f t="shared" si="25"/>
        <v>#DIV/0!</v>
      </c>
      <c r="R69" s="72">
        <f>O69</f>
        <v>0</v>
      </c>
      <c r="S69" s="203">
        <f t="shared" si="5"/>
        <v>0</v>
      </c>
      <c r="T69" s="204" t="e">
        <f t="shared" si="26"/>
        <v>#DIV/0!</v>
      </c>
      <c r="U69" s="73">
        <f>F69-квітень!F69</f>
        <v>0</v>
      </c>
      <c r="V69" s="98">
        <f>G69-квітень!G69</f>
        <v>0</v>
      </c>
      <c r="W69" s="74">
        <f t="shared" si="22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51.82</v>
      </c>
      <c r="H70" s="71">
        <f t="shared" si="19"/>
        <v>-5.600000000000001</v>
      </c>
      <c r="I70" s="209">
        <f t="shared" si="20"/>
        <v>0.9024730059212818</v>
      </c>
      <c r="J70" s="72">
        <f t="shared" si="23"/>
        <v>-84.98000000000002</v>
      </c>
      <c r="K70" s="75">
        <f t="shared" si="21"/>
        <v>0.37880116959064325</v>
      </c>
      <c r="L70" s="72"/>
      <c r="M70" s="72"/>
      <c r="N70" s="72"/>
      <c r="O70" s="72">
        <v>135.42</v>
      </c>
      <c r="P70" s="72">
        <f t="shared" si="24"/>
        <v>1.3800000000000239</v>
      </c>
      <c r="Q70" s="75">
        <f t="shared" si="25"/>
        <v>1.01019051838724</v>
      </c>
      <c r="R70" s="72">
        <v>43</v>
      </c>
      <c r="S70" s="203">
        <f t="shared" si="5"/>
        <v>8.82</v>
      </c>
      <c r="T70" s="204">
        <f t="shared" si="26"/>
        <v>1.2051162790697674</v>
      </c>
      <c r="U70" s="73">
        <f>F70-квітень!F70</f>
        <v>11.399999999999999</v>
      </c>
      <c r="V70" s="98">
        <f>G70-квітень!G70</f>
        <v>4.130000000000003</v>
      </c>
      <c r="W70" s="74">
        <f t="shared" si="22"/>
        <v>-7.269999999999996</v>
      </c>
      <c r="X70" s="75">
        <f t="shared" si="27"/>
        <v>0.36228070175438626</v>
      </c>
      <c r="Y70" s="197">
        <f t="shared" si="15"/>
        <v>0.19492576068252743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3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4"/>
        <v>0.96</v>
      </c>
      <c r="Q71" s="155">
        <f t="shared" si="25"/>
        <v>1.4705882352941175</v>
      </c>
      <c r="R71" s="115">
        <v>2.04</v>
      </c>
      <c r="S71" s="115">
        <f t="shared" si="5"/>
        <v>-2.04</v>
      </c>
      <c r="T71" s="155">
        <f t="shared" si="26"/>
        <v>0</v>
      </c>
      <c r="U71" s="107">
        <f>F71-квітень!F71</f>
        <v>0</v>
      </c>
      <c r="V71" s="110">
        <f>G71-квітень!G71</f>
        <v>0</v>
      </c>
      <c r="W71" s="111">
        <f t="shared" si="22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2484.89</v>
      </c>
      <c r="H72" s="102">
        <f t="shared" si="19"/>
        <v>-803.7600000000002</v>
      </c>
      <c r="I72" s="213">
        <f t="shared" si="20"/>
        <v>0.7555957611785991</v>
      </c>
      <c r="J72" s="115">
        <f t="shared" si="23"/>
        <v>-5685.110000000001</v>
      </c>
      <c r="K72" s="155">
        <f t="shared" si="21"/>
        <v>0.30414810281517746</v>
      </c>
      <c r="L72" s="115"/>
      <c r="M72" s="115"/>
      <c r="N72" s="115"/>
      <c r="O72" s="115">
        <v>8086.92</v>
      </c>
      <c r="P72" s="115">
        <f t="shared" si="24"/>
        <v>83.07999999999993</v>
      </c>
      <c r="Q72" s="155">
        <f t="shared" si="25"/>
        <v>1.0102733797292418</v>
      </c>
      <c r="R72" s="115">
        <v>4037.14</v>
      </c>
      <c r="S72" s="115">
        <f t="shared" si="5"/>
        <v>-1552.25</v>
      </c>
      <c r="T72" s="155">
        <f t="shared" si="26"/>
        <v>0.6155075127441704</v>
      </c>
      <c r="U72" s="107">
        <f>F72-квітень!F72</f>
        <v>680</v>
      </c>
      <c r="V72" s="110">
        <f>G72-квітень!G72</f>
        <v>450.8599999999999</v>
      </c>
      <c r="W72" s="111">
        <f t="shared" si="22"/>
        <v>-229.1400000000001</v>
      </c>
      <c r="X72" s="155">
        <f t="shared" si="27"/>
        <v>0.6630294117647058</v>
      </c>
      <c r="Y72" s="197">
        <f t="shared" si="15"/>
        <v>-0.39476586698507143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3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6"/>
        <v>#DIV/0!</v>
      </c>
      <c r="U73" s="107">
        <f>F73-квітень!F73</f>
        <v>0</v>
      </c>
      <c r="V73" s="110">
        <f>G73-квітень!G73</f>
        <v>0</v>
      </c>
      <c r="W73" s="111">
        <f t="shared" si="22"/>
        <v>0</v>
      </c>
      <c r="X73" s="155" t="e">
        <f t="shared" si="27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6"/>
        <v>0</v>
      </c>
      <c r="U74" s="107">
        <f>F74-квітень!F74</f>
        <v>0</v>
      </c>
      <c r="V74" s="110">
        <f>G74-квітень!G74</f>
        <v>0</v>
      </c>
      <c r="W74" s="116">
        <f t="shared" si="22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3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6"/>
        <v>#DIV/0!</v>
      </c>
      <c r="U75" s="107">
        <f>F75-квітень!F75</f>
        <v>0</v>
      </c>
      <c r="V75" s="110">
        <f>G75-квітень!G75</f>
        <v>0</v>
      </c>
      <c r="W75" s="111">
        <f t="shared" si="22"/>
        <v>0</v>
      </c>
      <c r="X75" s="155" t="e">
        <f t="shared" si="27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3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6"/>
        <v>0</v>
      </c>
      <c r="U76" s="107">
        <f>F76-квітень!F76</f>
        <v>0</v>
      </c>
      <c r="V76" s="110">
        <f>G76-квітень!G76</f>
        <v>0</v>
      </c>
      <c r="W76" s="111">
        <f t="shared" si="22"/>
        <v>0</v>
      </c>
      <c r="X76" s="155" t="e">
        <f t="shared" si="27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241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3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4.74</v>
      </c>
      <c r="H78" s="102">
        <f t="shared" si="19"/>
        <v>-10.629999999999999</v>
      </c>
      <c r="I78" s="213">
        <f>G78/F78</f>
        <v>0.3083929733246585</v>
      </c>
      <c r="J78" s="115">
        <f t="shared" si="23"/>
        <v>-30.259999999999998</v>
      </c>
      <c r="K78" s="155">
        <f>G78/E78</f>
        <v>0.13542857142857143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 t="shared" si="5"/>
        <v>-17.61</v>
      </c>
      <c r="T78" s="155">
        <f t="shared" si="26"/>
        <v>0.21208053691275167</v>
      </c>
      <c r="U78" s="107">
        <f>F78-квітень!F77</f>
        <v>2.8999999999999986</v>
      </c>
      <c r="V78" s="110">
        <f>G78-квітень!G77</f>
        <v>0</v>
      </c>
      <c r="W78" s="111">
        <f t="shared" si="22"/>
        <v>-2.8999999999999986</v>
      </c>
      <c r="X78" s="155">
        <f t="shared" si="27"/>
        <v>0</v>
      </c>
      <c r="Y78" s="197">
        <f t="shared" si="15"/>
        <v>-0.8107131509890602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0.5</v>
      </c>
      <c r="H79" s="102">
        <f t="shared" si="19"/>
        <v>0.5</v>
      </c>
      <c r="I79" s="213" t="e">
        <f>G79/F79</f>
        <v>#DIV/0!</v>
      </c>
      <c r="J79" s="115">
        <f t="shared" si="23"/>
        <v>0.5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5.75</v>
      </c>
      <c r="T79" s="155">
        <f t="shared" si="26"/>
        <v>-0.09523809523809523</v>
      </c>
      <c r="U79" s="107">
        <f>F79-квітень!F78</f>
        <v>0</v>
      </c>
      <c r="V79" s="110">
        <f>G79-квітень!G78</f>
        <v>0</v>
      </c>
      <c r="W79" s="111">
        <f t="shared" si="22"/>
        <v>0</v>
      </c>
      <c r="X79" s="155"/>
      <c r="Y79" s="197">
        <f t="shared" si="15"/>
        <v>-0.09523809523809523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1627917.7</v>
      </c>
      <c r="F80" s="103">
        <f>F8+F53+F78+F79</f>
        <v>619358.02</v>
      </c>
      <c r="G80" s="103">
        <f>G8+G53+G78+G79</f>
        <v>559368.1900000001</v>
      </c>
      <c r="H80" s="103">
        <f>G80-F80</f>
        <v>-59989.82999999996</v>
      </c>
      <c r="I80" s="210">
        <f>G80/F80</f>
        <v>0.9031419178200034</v>
      </c>
      <c r="J80" s="104">
        <f>G80-E80</f>
        <v>-1068549.5099999998</v>
      </c>
      <c r="K80" s="156">
        <f>G80/E80</f>
        <v>0.34360962473717194</v>
      </c>
      <c r="L80" s="104"/>
      <c r="M80" s="104"/>
      <c r="N80" s="104"/>
      <c r="O80" s="104">
        <v>1398996.46</v>
      </c>
      <c r="P80" s="104">
        <f>E80-O80</f>
        <v>228921.24</v>
      </c>
      <c r="Q80" s="156">
        <f>E80/O80</f>
        <v>1.163632465517461</v>
      </c>
      <c r="R80" s="103">
        <v>532468.19</v>
      </c>
      <c r="S80" s="104">
        <f>G80-R80</f>
        <v>26900.000000000116</v>
      </c>
      <c r="T80" s="156">
        <f>G80/R80</f>
        <v>1.0505194498097625</v>
      </c>
      <c r="U80" s="103">
        <f>U8+U53+U78+U79</f>
        <v>130131.65999999996</v>
      </c>
      <c r="V80" s="103">
        <f>V8+V53+V78+V79</f>
        <v>44524.780000000006</v>
      </c>
      <c r="W80" s="135">
        <f>V80-U80</f>
        <v>-85606.87999999995</v>
      </c>
      <c r="X80" s="156">
        <f>V80/U80</f>
        <v>0.34215178689029263</v>
      </c>
      <c r="Y80" s="197">
        <f t="shared" si="15"/>
        <v>-0.1131130157076985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 t="shared" si="15"/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 aca="true" t="shared" si="28" ref="S87:S99">G87-R87</f>
        <v>0.01</v>
      </c>
      <c r="T87" s="151" t="e">
        <f aca="true" t="shared" si="29" ref="T87:T102">G87/R87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 t="shared" si="15"/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30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1" ref="P88:P99">E88-O88</f>
        <v>-35.57</v>
      </c>
      <c r="Q88" s="151">
        <f aca="true" t="shared" si="32" ref="Q88:Q99">E88/O88</f>
        <v>0</v>
      </c>
      <c r="R88" s="131">
        <v>35.57</v>
      </c>
      <c r="S88" s="131">
        <f t="shared" si="28"/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 aca="true" t="shared" si="33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1570.86</v>
      </c>
      <c r="H89" s="112">
        <f t="shared" si="30"/>
        <v>570.8299999999999</v>
      </c>
      <c r="I89" s="213">
        <f>G89/F89</f>
        <v>1.5708128756137316</v>
      </c>
      <c r="J89" s="117">
        <f>G89-E89</f>
        <v>-6747.179000000001</v>
      </c>
      <c r="K89" s="147">
        <f>G89/E89</f>
        <v>0.1888497998145957</v>
      </c>
      <c r="L89" s="117"/>
      <c r="M89" s="117"/>
      <c r="N89" s="117"/>
      <c r="O89" s="117">
        <v>938.14</v>
      </c>
      <c r="P89" s="117">
        <f t="shared" si="31"/>
        <v>7379.899</v>
      </c>
      <c r="Q89" s="147">
        <f t="shared" si="32"/>
        <v>8.866522054277613</v>
      </c>
      <c r="R89" s="117">
        <v>0.13</v>
      </c>
      <c r="S89" s="117">
        <f t="shared" si="28"/>
        <v>1570.7299999999998</v>
      </c>
      <c r="T89" s="147">
        <f t="shared" si="29"/>
        <v>12083.538461538461</v>
      </c>
      <c r="U89" s="112">
        <f>F89-квітень!F88</f>
        <v>193.601</v>
      </c>
      <c r="V89" s="118">
        <f>G89-квітень!G88</f>
        <v>0</v>
      </c>
      <c r="W89" s="117">
        <f t="shared" si="33"/>
        <v>-193.601</v>
      </c>
      <c r="X89" s="147">
        <f>V89/U89</f>
        <v>0</v>
      </c>
      <c r="Y89" s="197">
        <f t="shared" si="15"/>
        <v>12074.671939484184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1461.36</v>
      </c>
      <c r="H90" s="112">
        <f t="shared" si="30"/>
        <v>-2553.6400000000003</v>
      </c>
      <c r="I90" s="213">
        <f>G90/F90</f>
        <v>0.3639750933997509</v>
      </c>
      <c r="J90" s="117">
        <f aca="true" t="shared" si="34" ref="J90:J99">G90-E90</f>
        <v>-14987.64</v>
      </c>
      <c r="K90" s="147">
        <f>G90/E90</f>
        <v>0.08884187488601131</v>
      </c>
      <c r="L90" s="117"/>
      <c r="M90" s="117"/>
      <c r="N90" s="117"/>
      <c r="O90" s="117">
        <v>8143.65</v>
      </c>
      <c r="P90" s="117">
        <f t="shared" si="31"/>
        <v>8305.35</v>
      </c>
      <c r="Q90" s="147">
        <f t="shared" si="32"/>
        <v>2.0198559613932328</v>
      </c>
      <c r="R90" s="117">
        <v>304.9</v>
      </c>
      <c r="S90" s="117">
        <f t="shared" si="28"/>
        <v>1156.46</v>
      </c>
      <c r="T90" s="147">
        <f t="shared" si="29"/>
        <v>4.7929157100688755</v>
      </c>
      <c r="U90" s="112">
        <f>F90-квітень!F89</f>
        <v>1000</v>
      </c>
      <c r="V90" s="118">
        <f>G90-квітень!G89</f>
        <v>0</v>
      </c>
      <c r="W90" s="117">
        <f t="shared" si="33"/>
        <v>-1000</v>
      </c>
      <c r="X90" s="147">
        <f>V90/U90</f>
        <v>0</v>
      </c>
      <c r="Y90" s="197">
        <f t="shared" si="15"/>
        <v>2.7730597486756428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1805.03</v>
      </c>
      <c r="H91" s="112">
        <f t="shared" si="30"/>
        <v>-8194.97</v>
      </c>
      <c r="I91" s="213">
        <f>G91/F91</f>
        <v>0.180503</v>
      </c>
      <c r="J91" s="117">
        <f t="shared" si="34"/>
        <v>-20209.97</v>
      </c>
      <c r="K91" s="147">
        <f>G91/E91</f>
        <v>0.08199091528503293</v>
      </c>
      <c r="L91" s="117"/>
      <c r="M91" s="117"/>
      <c r="N91" s="117"/>
      <c r="O91" s="117">
        <v>17305.88</v>
      </c>
      <c r="P91" s="117">
        <f t="shared" si="31"/>
        <v>4709.119999999999</v>
      </c>
      <c r="Q91" s="147">
        <f t="shared" si="32"/>
        <v>1.2721109819321526</v>
      </c>
      <c r="R91" s="117">
        <v>4585.42</v>
      </c>
      <c r="S91" s="117">
        <f t="shared" si="28"/>
        <v>-2780.3900000000003</v>
      </c>
      <c r="T91" s="147">
        <f t="shared" si="29"/>
        <v>0.39364551120726127</v>
      </c>
      <c r="U91" s="112">
        <f>F91-квітень!F90</f>
        <v>2000</v>
      </c>
      <c r="V91" s="118">
        <f>G91-квітень!G90</f>
        <v>56.66000000000008</v>
      </c>
      <c r="W91" s="117">
        <f t="shared" si="33"/>
        <v>-1943.34</v>
      </c>
      <c r="X91" s="147">
        <f>V91/U91</f>
        <v>0.028330000000000043</v>
      </c>
      <c r="Y91" s="197">
        <f t="shared" si="15"/>
        <v>-0.8784654707248913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 t="shared" si="30"/>
        <v>-5</v>
      </c>
      <c r="I92" s="213">
        <f>G92/F92</f>
        <v>0.5</v>
      </c>
      <c r="J92" s="117">
        <f t="shared" si="34"/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 t="shared" si="31"/>
        <v>4</v>
      </c>
      <c r="Q92" s="147">
        <f t="shared" si="32"/>
        <v>1.2</v>
      </c>
      <c r="R92" s="117">
        <v>6</v>
      </c>
      <c r="S92" s="117">
        <f t="shared" si="28"/>
        <v>-1</v>
      </c>
      <c r="T92" s="147">
        <f t="shared" si="29"/>
        <v>0.8333333333333334</v>
      </c>
      <c r="U92" s="112">
        <f>F92-квітень!F91</f>
        <v>2</v>
      </c>
      <c r="V92" s="118">
        <f>G92-квітень!G91</f>
        <v>1</v>
      </c>
      <c r="W92" s="117">
        <f t="shared" si="33"/>
        <v>-1</v>
      </c>
      <c r="X92" s="147">
        <f>V92/U92</f>
        <v>0.5</v>
      </c>
      <c r="Y92" s="197">
        <f t="shared" si="15"/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4842.25</v>
      </c>
      <c r="H93" s="129">
        <f t="shared" si="30"/>
        <v>-10182.779999999999</v>
      </c>
      <c r="I93" s="216">
        <f>G93/F93</f>
        <v>0.32227889062451126</v>
      </c>
      <c r="J93" s="131">
        <f t="shared" si="34"/>
        <v>-41963.789000000004</v>
      </c>
      <c r="K93" s="151">
        <f>G93/E93</f>
        <v>0.10345353085741776</v>
      </c>
      <c r="L93" s="131"/>
      <c r="M93" s="131"/>
      <c r="N93" s="131"/>
      <c r="O93" s="131">
        <v>26407.66</v>
      </c>
      <c r="P93" s="131">
        <f t="shared" si="31"/>
        <v>20398.379000000004</v>
      </c>
      <c r="Q93" s="151">
        <f t="shared" si="32"/>
        <v>1.772441746069133</v>
      </c>
      <c r="R93" s="131">
        <v>4896.44</v>
      </c>
      <c r="S93" s="117">
        <f t="shared" si="28"/>
        <v>-54.1899999999996</v>
      </c>
      <c r="T93" s="147">
        <f t="shared" si="29"/>
        <v>0.9889327756492473</v>
      </c>
      <c r="U93" s="129">
        <f>F93-квітень!F92</f>
        <v>3195.6009999999987</v>
      </c>
      <c r="V93" s="174">
        <f>G93-квітень!G92</f>
        <v>57.659999999999854</v>
      </c>
      <c r="W93" s="131">
        <f t="shared" si="33"/>
        <v>-3137.940999999999</v>
      </c>
      <c r="X93" s="151">
        <f>V93/U93</f>
        <v>0.01804355424848092</v>
      </c>
      <c r="Y93" s="197">
        <f t="shared" si="15"/>
        <v>-0.7835089704198858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 t="shared" si="30"/>
        <v>-13.57</v>
      </c>
      <c r="I94" s="213"/>
      <c r="J94" s="117">
        <f t="shared" si="34"/>
        <v>-41.57</v>
      </c>
      <c r="K94" s="147"/>
      <c r="L94" s="117"/>
      <c r="M94" s="117"/>
      <c r="N94" s="117"/>
      <c r="O94" s="117">
        <v>49.17</v>
      </c>
      <c r="P94" s="117">
        <f t="shared" si="31"/>
        <v>-6.170000000000002</v>
      </c>
      <c r="Q94" s="147">
        <f t="shared" si="32"/>
        <v>0.8745169818995322</v>
      </c>
      <c r="R94" s="117">
        <v>34.1</v>
      </c>
      <c r="S94" s="117">
        <f t="shared" si="28"/>
        <v>-32.67</v>
      </c>
      <c r="T94" s="147">
        <f t="shared" si="29"/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 t="shared" si="33"/>
        <v>-3.87</v>
      </c>
      <c r="X94" s="147"/>
      <c r="Y94" s="197">
        <f t="shared" si="15"/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30"/>
        <v>0</v>
      </c>
      <c r="I95" s="213"/>
      <c r="J95" s="117">
        <f t="shared" si="34"/>
        <v>0</v>
      </c>
      <c r="K95" s="224"/>
      <c r="L95" s="134"/>
      <c r="M95" s="134"/>
      <c r="N95" s="134"/>
      <c r="O95" s="134"/>
      <c r="P95" s="117">
        <f t="shared" si="31"/>
        <v>0</v>
      </c>
      <c r="Q95" s="147" t="e">
        <f t="shared" si="32"/>
        <v>#DIV/0!</v>
      </c>
      <c r="R95" s="117">
        <f>O95</f>
        <v>0</v>
      </c>
      <c r="S95" s="117">
        <f t="shared" si="28"/>
        <v>0</v>
      </c>
      <c r="T95" s="147" t="e">
        <f t="shared" si="29"/>
        <v>#DIV/0!</v>
      </c>
      <c r="U95" s="112">
        <f>F95-квітень!F94</f>
        <v>0</v>
      </c>
      <c r="V95" s="118">
        <f>G95-квітень!G94</f>
        <v>0</v>
      </c>
      <c r="W95" s="117">
        <f t="shared" si="33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2611.41</v>
      </c>
      <c r="H96" s="112">
        <f t="shared" si="30"/>
        <v>-3290.54</v>
      </c>
      <c r="I96" s="213">
        <f>G96/F96</f>
        <v>0.4424656257677547</v>
      </c>
      <c r="J96" s="117">
        <f t="shared" si="34"/>
        <v>-6438.59</v>
      </c>
      <c r="K96" s="147">
        <f>G96/E96</f>
        <v>0.288553591160221</v>
      </c>
      <c r="L96" s="117"/>
      <c r="M96" s="117"/>
      <c r="N96" s="117"/>
      <c r="O96" s="117">
        <v>8033.94</v>
      </c>
      <c r="P96" s="117">
        <f t="shared" si="31"/>
        <v>1016.0600000000004</v>
      </c>
      <c r="Q96" s="147">
        <f t="shared" si="32"/>
        <v>1.1264709470073215</v>
      </c>
      <c r="R96" s="117">
        <v>5103.22</v>
      </c>
      <c r="S96" s="117">
        <f t="shared" si="28"/>
        <v>-2491.8100000000004</v>
      </c>
      <c r="T96" s="147">
        <f t="shared" si="29"/>
        <v>0.5117180917146429</v>
      </c>
      <c r="U96" s="112">
        <f>F96-квітень!F95</f>
        <v>3068.5</v>
      </c>
      <c r="V96" s="118">
        <f>G96-квітень!G95</f>
        <v>7.710000000000036</v>
      </c>
      <c r="W96" s="117">
        <f t="shared" si="33"/>
        <v>-3060.79</v>
      </c>
      <c r="X96" s="147">
        <f>V96/U96</f>
        <v>0.002512628320026083</v>
      </c>
      <c r="Y96" s="197">
        <f t="shared" si="15"/>
        <v>-0.6147528552926786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30"/>
        <v>0</v>
      </c>
      <c r="I97" s="213"/>
      <c r="J97" s="117">
        <f t="shared" si="34"/>
        <v>0</v>
      </c>
      <c r="K97" s="147"/>
      <c r="L97" s="117"/>
      <c r="M97" s="117"/>
      <c r="N97" s="117"/>
      <c r="O97" s="117">
        <v>0.1</v>
      </c>
      <c r="P97" s="117">
        <f t="shared" si="31"/>
        <v>-0.1</v>
      </c>
      <c r="Q97" s="147">
        <f t="shared" si="32"/>
        <v>0</v>
      </c>
      <c r="R97" s="117">
        <v>0</v>
      </c>
      <c r="S97" s="117">
        <f t="shared" si="28"/>
        <v>0</v>
      </c>
      <c r="T97" s="147" t="e">
        <f t="shared" si="29"/>
        <v>#DIV/0!</v>
      </c>
      <c r="U97" s="112">
        <f>F97-січень!F96</f>
        <v>0</v>
      </c>
      <c r="V97" s="118">
        <f>G97-березень!G96</f>
        <v>0</v>
      </c>
      <c r="W97" s="117">
        <f t="shared" si="33"/>
        <v>0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2612.8399999999997</v>
      </c>
      <c r="H98" s="129">
        <f t="shared" si="30"/>
        <v>-3304.11</v>
      </c>
      <c r="I98" s="216">
        <f>G98/F98</f>
        <v>0.4415856142100237</v>
      </c>
      <c r="J98" s="131">
        <f t="shared" si="34"/>
        <v>-6480.16</v>
      </c>
      <c r="K98" s="151">
        <f>G98/E98</f>
        <v>0.2873463103486198</v>
      </c>
      <c r="L98" s="131"/>
      <c r="M98" s="131"/>
      <c r="N98" s="131"/>
      <c r="O98" s="131">
        <v>8083.21</v>
      </c>
      <c r="P98" s="131">
        <f t="shared" si="31"/>
        <v>1009.79</v>
      </c>
      <c r="Q98" s="151">
        <f t="shared" si="32"/>
        <v>1.1249243802895137</v>
      </c>
      <c r="R98" s="131">
        <v>5137.37</v>
      </c>
      <c r="S98" s="117">
        <f t="shared" si="28"/>
        <v>-2524.53</v>
      </c>
      <c r="T98" s="147">
        <f t="shared" si="29"/>
        <v>0.5085948646875735</v>
      </c>
      <c r="U98" s="129">
        <f>F98-квітень!F97</f>
        <v>3072.5</v>
      </c>
      <c r="V98" s="174">
        <f>G98-квітень!G97</f>
        <v>7.839999999999691</v>
      </c>
      <c r="W98" s="131">
        <f t="shared" si="33"/>
        <v>-3064.6600000000003</v>
      </c>
      <c r="X98" s="151">
        <f>V98/U98</f>
        <v>0.0025516680227826495</v>
      </c>
      <c r="Y98" s="197">
        <f t="shared" si="15"/>
        <v>-0.6163295156019402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15.98</v>
      </c>
      <c r="H99" s="112">
        <f t="shared" si="30"/>
        <v>0.23000000000000043</v>
      </c>
      <c r="I99" s="213">
        <f>G99/F99</f>
        <v>1.0146031746031747</v>
      </c>
      <c r="J99" s="117">
        <f t="shared" si="34"/>
        <v>-31.432999999999996</v>
      </c>
      <c r="K99" s="147">
        <f>G99/E99</f>
        <v>0.3370383650053783</v>
      </c>
      <c r="L99" s="117"/>
      <c r="M99" s="117"/>
      <c r="N99" s="117"/>
      <c r="O99" s="117">
        <v>37.96</v>
      </c>
      <c r="P99" s="117">
        <f t="shared" si="31"/>
        <v>9.452999999999996</v>
      </c>
      <c r="Q99" s="147">
        <f t="shared" si="32"/>
        <v>1.2490252897787144</v>
      </c>
      <c r="R99" s="131">
        <v>7.74</v>
      </c>
      <c r="S99" s="117">
        <f t="shared" si="28"/>
        <v>8.24</v>
      </c>
      <c r="T99" s="147">
        <f t="shared" si="29"/>
        <v>2.0645994832041343</v>
      </c>
      <c r="U99" s="112">
        <f>F99-квітень!F98</f>
        <v>1.7599999999999998</v>
      </c>
      <c r="V99" s="118">
        <f>G99-квітень!G98</f>
        <v>0</v>
      </c>
      <c r="W99" s="117">
        <f t="shared" si="33"/>
        <v>-1.7599999999999998</v>
      </c>
      <c r="X99" s="147">
        <f>V99/U99</f>
        <v>0</v>
      </c>
      <c r="Y99" s="197">
        <f t="shared" si="15"/>
        <v>0.8155741934254199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9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7480.509999999998</v>
      </c>
      <c r="H101" s="184">
        <f>G101-F101</f>
        <v>-13477.220000000001</v>
      </c>
      <c r="I101" s="217">
        <f>G101/F101</f>
        <v>0.35693321748109164</v>
      </c>
      <c r="J101" s="177">
        <f>G101-E101</f>
        <v>-48465.94200000001</v>
      </c>
      <c r="K101" s="178">
        <f>G101/E101</f>
        <v>0.13370838958652817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-2593.9800000000014</v>
      </c>
      <c r="T101" s="178">
        <f t="shared" si="29"/>
        <v>0.7425199687527605</v>
      </c>
      <c r="U101" s="183">
        <f>U87+U88+U93+U98+U99</f>
        <v>6269.860999999999</v>
      </c>
      <c r="V101" s="183">
        <f>V87+V88+V93+V98+V99</f>
        <v>65.49999999999955</v>
      </c>
      <c r="W101" s="177">
        <f>V101-U101</f>
        <v>-6204.360999999999</v>
      </c>
      <c r="X101" s="178">
        <f>V101/U101</f>
        <v>0.010446802568669315</v>
      </c>
      <c r="Y101" s="197">
        <f>T101-Q101</f>
        <v>-0.876218076202692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1683864.152</v>
      </c>
      <c r="F102" s="183">
        <f>F80+F101</f>
        <v>640315.75</v>
      </c>
      <c r="G102" s="183">
        <f>G80+G101</f>
        <v>566848.7000000001</v>
      </c>
      <c r="H102" s="184">
        <f>G102-F102</f>
        <v>-73467.04999999993</v>
      </c>
      <c r="I102" s="217">
        <f>G102/F102</f>
        <v>0.8852643402883656</v>
      </c>
      <c r="J102" s="177">
        <f>G102-E102</f>
        <v>-1117015.452</v>
      </c>
      <c r="K102" s="178">
        <f>G102/E102</f>
        <v>0.3366356480282146</v>
      </c>
      <c r="L102" s="177"/>
      <c r="M102" s="177"/>
      <c r="N102" s="177"/>
      <c r="O102" s="177">
        <f>O80+O101</f>
        <v>1433558.23</v>
      </c>
      <c r="P102" s="177">
        <f>E102-O102</f>
        <v>250305.92200000002</v>
      </c>
      <c r="Q102" s="178">
        <f>E102/O102</f>
        <v>1.1746046423241558</v>
      </c>
      <c r="R102" s="177">
        <f>R80+R101</f>
        <v>542542.6799999999</v>
      </c>
      <c r="S102" s="177">
        <f>S80+S101</f>
        <v>24306.020000000113</v>
      </c>
      <c r="T102" s="178">
        <f t="shared" si="29"/>
        <v>1.0448001989447173</v>
      </c>
      <c r="U102" s="184">
        <f>U80+U101</f>
        <v>136401.52099999995</v>
      </c>
      <c r="V102" s="184">
        <f>V80+V101</f>
        <v>44590.280000000006</v>
      </c>
      <c r="W102" s="177">
        <f>V102-U102</f>
        <v>-91811.24099999995</v>
      </c>
      <c r="X102" s="178">
        <f>V102/U102</f>
        <v>0.3269045658222537</v>
      </c>
      <c r="Y102" s="197">
        <f>T102-Q102</f>
        <v>-0.12980444337943853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14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4284.987857142854</v>
      </c>
      <c r="H105" s="268"/>
      <c r="I105" s="268"/>
      <c r="J105" s="268"/>
      <c r="V105" s="267">
        <f>IF(W80&lt;0,ABS(W80/C104),0)</f>
        <v>6114.777142857139</v>
      </c>
    </row>
    <row r="106" spans="2:7" ht="30.75">
      <c r="B106" s="270" t="s">
        <v>163</v>
      </c>
      <c r="C106" s="271">
        <v>43230</v>
      </c>
      <c r="D106" s="267"/>
      <c r="E106" s="267">
        <v>2807.5</v>
      </c>
      <c r="F106" s="78"/>
      <c r="G106" s="4" t="s">
        <v>164</v>
      </c>
    </row>
    <row r="107" spans="3:10" ht="15">
      <c r="C107" s="271">
        <v>43228</v>
      </c>
      <c r="D107" s="267"/>
      <c r="E107" s="267">
        <v>3761.1</v>
      </c>
      <c r="F107" s="78"/>
      <c r="G107" s="499"/>
      <c r="H107" s="499"/>
      <c r="I107" s="273"/>
      <c r="J107" s="274"/>
    </row>
    <row r="108" spans="3:10" ht="15">
      <c r="C108" s="271">
        <v>43227</v>
      </c>
      <c r="D108" s="267"/>
      <c r="E108" s="267">
        <v>15192.6</v>
      </c>
      <c r="F108" s="78"/>
      <c r="G108" s="499"/>
      <c r="H108" s="499"/>
      <c r="I108" s="273"/>
      <c r="J108" s="276"/>
    </row>
    <row r="109" spans="3:10" ht="15">
      <c r="C109" s="271"/>
      <c r="D109" s="4"/>
      <c r="F109" s="278"/>
      <c r="G109" s="500"/>
      <c r="H109" s="500"/>
      <c r="I109" s="279"/>
      <c r="J109" s="274"/>
    </row>
    <row r="110" spans="2:10" ht="16.5">
      <c r="B110" s="501" t="s">
        <v>165</v>
      </c>
      <c r="C110" s="502"/>
      <c r="D110" s="280"/>
      <c r="E110" s="434">
        <v>47.539</v>
      </c>
      <c r="F110" s="282" t="s">
        <v>166</v>
      </c>
      <c r="G110" s="499"/>
      <c r="H110" s="499"/>
      <c r="I110" s="283"/>
      <c r="J110" s="274"/>
    </row>
    <row r="111" spans="4:10" ht="15">
      <c r="D111" s="4"/>
      <c r="F111" s="278"/>
      <c r="G111" s="499"/>
      <c r="H111" s="499"/>
      <c r="I111" s="278"/>
      <c r="J111" s="281"/>
    </row>
    <row r="112" spans="2:10" ht="15" customHeight="1">
      <c r="B112" s="498"/>
      <c r="C112" s="498"/>
      <c r="D112" s="285"/>
      <c r="E112" s="286"/>
      <c r="F112" s="278"/>
      <c r="G112" s="499"/>
      <c r="H112" s="49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5" ref="E113:W113">E60+E63+E64</f>
        <v>2095</v>
      </c>
      <c r="F113" s="278">
        <f t="shared" si="35"/>
        <v>827</v>
      </c>
      <c r="G113" s="435">
        <f t="shared" si="35"/>
        <v>717.1199999999999</v>
      </c>
      <c r="H113" s="278">
        <f t="shared" si="35"/>
        <v>-109.88</v>
      </c>
      <c r="I113" s="436">
        <f>G113/F113</f>
        <v>0.8671342200725513</v>
      </c>
      <c r="J113" s="278">
        <f t="shared" si="35"/>
        <v>-1377.88</v>
      </c>
      <c r="K113" s="436">
        <f>G113/E113</f>
        <v>0.3423007159904534</v>
      </c>
      <c r="L113" s="278">
        <f t="shared" si="35"/>
        <v>0</v>
      </c>
      <c r="M113" s="278">
        <f t="shared" si="35"/>
        <v>0</v>
      </c>
      <c r="N113" s="278">
        <f t="shared" si="35"/>
        <v>0</v>
      </c>
      <c r="O113" s="278">
        <f t="shared" si="35"/>
        <v>1956.6200000000001</v>
      </c>
      <c r="P113" s="278">
        <f t="shared" si="35"/>
        <v>138.37999999999994</v>
      </c>
      <c r="Q113" s="436">
        <f>E113/O113</f>
        <v>1.0707240036389283</v>
      </c>
      <c r="R113" s="278">
        <f t="shared" si="35"/>
        <v>733.8000000000001</v>
      </c>
      <c r="S113" s="278">
        <f t="shared" si="35"/>
        <v>-16.679999999999986</v>
      </c>
      <c r="T113" s="436">
        <f>G113/R113</f>
        <v>0.9772690106295991</v>
      </c>
      <c r="U113" s="278">
        <f t="shared" si="35"/>
        <v>182</v>
      </c>
      <c r="V113" s="288">
        <f t="shared" si="35"/>
        <v>54.81999999999999</v>
      </c>
      <c r="W113" s="278">
        <f t="shared" si="35"/>
        <v>-127.18</v>
      </c>
      <c r="X113" s="436">
        <f>V113/U113</f>
        <v>0.3012087912087912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1592543.3</v>
      </c>
      <c r="F115" s="267">
        <f>F9+F15+F18+F19+F23+F54+F57+F59+F71+F78+F94+F96</f>
        <v>607180.6699999999</v>
      </c>
      <c r="G115" s="289">
        <f>G9+G15+G18+G19+G23+G54+G57+G59+G71+G78+G94+G96</f>
        <v>542896.4800000001</v>
      </c>
      <c r="H115" s="267">
        <f>H9+H15+H18+H19+H23+H54+H57+H59+H71+H78+H94+H96</f>
        <v>-64284.18999999996</v>
      </c>
      <c r="I115" s="163">
        <f>G115/F115</f>
        <v>0.8941267514329798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69036.852</v>
      </c>
      <c r="F116" s="267">
        <f>F55+F58+F60+F63+F64+F65+F72+F76+F89+F90+F91+F92+F99</f>
        <v>23444.940000000002</v>
      </c>
      <c r="G116" s="289">
        <f>G55+G58+G60+G63+G64+G65+G72+G76+G89+G90+G91+G92+G99</f>
        <v>14586.810000000001</v>
      </c>
      <c r="H116" s="267">
        <f>H55+H58+H60+H63+H64+H65+H72+H76+H89+H90+H91+H92+H99</f>
        <v>-8858.130000000001</v>
      </c>
      <c r="I116" s="163">
        <f>G116/F116</f>
        <v>0.6221730573846638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22284</v>
      </c>
      <c r="F117" s="267">
        <f>F56+F62+F66+F79</f>
        <v>9690.14</v>
      </c>
      <c r="G117" s="289">
        <f>G56+G62+G66+G79</f>
        <v>9355.88</v>
      </c>
      <c r="H117" s="267">
        <f>H56+H62+H66+H79</f>
        <v>-334.2599999999997</v>
      </c>
      <c r="I117" s="163">
        <f>G117/F117</f>
        <v>0.9655051423405647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1683864.152</v>
      </c>
      <c r="F118" s="439">
        <f>F115+F116+F117</f>
        <v>640315.7499999999</v>
      </c>
      <c r="G118" s="440">
        <f>G115+G116+G117</f>
        <v>566839.1700000002</v>
      </c>
      <c r="H118" s="439">
        <f>H115+H116+H117</f>
        <v>-73476.57999999996</v>
      </c>
      <c r="I118" s="441">
        <f>G118/F118</f>
        <v>0.8852494570061727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-9.53000000002794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6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7" ref="E125:J125">E124+E101</f>
        <v>74048.512</v>
      </c>
      <c r="F125" s="295">
        <f t="shared" si="37"/>
        <v>41212.05</v>
      </c>
      <c r="G125" s="295">
        <f t="shared" si="37"/>
        <v>9632.769999999997</v>
      </c>
      <c r="H125" s="295">
        <f t="shared" si="37"/>
        <v>-31579.280000000002</v>
      </c>
      <c r="I125" s="447">
        <f t="shared" si="36"/>
        <v>0.2337367347656813</v>
      </c>
      <c r="J125" s="295">
        <f t="shared" si="37"/>
        <v>-64415.74200000001</v>
      </c>
      <c r="K125" s="447">
        <f>G125/F125</f>
        <v>0.2337367347656813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8" ref="E126:J126">E102+E124</f>
        <v>1701966.212</v>
      </c>
      <c r="F126" s="295">
        <f t="shared" si="38"/>
        <v>660570.07</v>
      </c>
      <c r="G126" s="295">
        <f t="shared" si="38"/>
        <v>569000.9600000001</v>
      </c>
      <c r="H126" s="295">
        <f t="shared" si="38"/>
        <v>-91569.10999999993</v>
      </c>
      <c r="I126" s="447">
        <f t="shared" si="36"/>
        <v>0.8613786573769534</v>
      </c>
      <c r="J126" s="295">
        <f t="shared" si="38"/>
        <v>-1132965.252</v>
      </c>
      <c r="K126" s="447">
        <f>G126/F126</f>
        <v>0.8613786573769534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6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6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6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6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9" ref="E131:J131">E126+E127+E130</f>
        <v>3201641.412</v>
      </c>
      <c r="F131" s="314">
        <f t="shared" si="39"/>
        <v>982656.7999999999</v>
      </c>
      <c r="G131" s="314">
        <f t="shared" si="39"/>
        <v>569000.9600000001</v>
      </c>
      <c r="H131" s="314">
        <f t="shared" si="39"/>
        <v>-413655.8399999999</v>
      </c>
      <c r="I131" s="449">
        <f t="shared" si="36"/>
        <v>0.5790434259448468</v>
      </c>
      <c r="J131" s="314">
        <f t="shared" si="39"/>
        <v>-2632640.452</v>
      </c>
      <c r="K131" s="449">
        <f>G131/E131</f>
        <v>0.1777216392402161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40" ref="D139:X139">D17</f>
        <v>0</v>
      </c>
      <c r="E139" s="323">
        <f t="shared" si="40"/>
        <v>0</v>
      </c>
      <c r="F139" s="323">
        <f t="shared" si="40"/>
        <v>0</v>
      </c>
      <c r="G139" s="323">
        <f t="shared" si="40"/>
        <v>0</v>
      </c>
      <c r="H139" s="323">
        <f t="shared" si="40"/>
        <v>0</v>
      </c>
      <c r="I139" s="357">
        <f t="shared" si="40"/>
        <v>0</v>
      </c>
      <c r="J139" s="323">
        <f t="shared" si="40"/>
        <v>0</v>
      </c>
      <c r="K139" s="357">
        <f t="shared" si="40"/>
        <v>0</v>
      </c>
      <c r="L139" s="323">
        <f t="shared" si="40"/>
        <v>0</v>
      </c>
      <c r="M139" s="323">
        <f t="shared" si="40"/>
        <v>0</v>
      </c>
      <c r="N139" s="323">
        <f t="shared" si="40"/>
        <v>0</v>
      </c>
      <c r="O139" s="323">
        <f t="shared" si="40"/>
        <v>0.49</v>
      </c>
      <c r="P139" s="323">
        <f t="shared" si="40"/>
        <v>-0.49</v>
      </c>
      <c r="Q139" s="357">
        <f t="shared" si="40"/>
        <v>0</v>
      </c>
      <c r="R139" s="323">
        <f t="shared" si="40"/>
        <v>0</v>
      </c>
      <c r="S139" s="323">
        <f t="shared" si="40"/>
        <v>0</v>
      </c>
      <c r="T139" s="357" t="e">
        <f t="shared" si="40"/>
        <v>#DIV/0!</v>
      </c>
      <c r="U139" s="323">
        <f t="shared" si="40"/>
        <v>0</v>
      </c>
      <c r="V139" s="323">
        <f t="shared" si="40"/>
        <v>0</v>
      </c>
      <c r="W139" s="323">
        <f t="shared" si="40"/>
        <v>0</v>
      </c>
      <c r="X139" s="357">
        <f t="shared" si="40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aca="true" t="shared" si="41" ref="D140:X140">D18</f>
        <v>235.6</v>
      </c>
      <c r="E140" s="323">
        <f t="shared" si="41"/>
        <v>235.6</v>
      </c>
      <c r="F140" s="323">
        <f t="shared" si="41"/>
        <v>140.5</v>
      </c>
      <c r="G140" s="323">
        <f t="shared" si="41"/>
        <v>194.24</v>
      </c>
      <c r="H140" s="323">
        <f t="shared" si="41"/>
        <v>53.74000000000001</v>
      </c>
      <c r="I140" s="357">
        <f t="shared" si="41"/>
        <v>1.382491103202847</v>
      </c>
      <c r="J140" s="323">
        <f t="shared" si="41"/>
        <v>-41.359999999999985</v>
      </c>
      <c r="K140" s="357">
        <f t="shared" si="41"/>
        <v>82.44482173174873</v>
      </c>
      <c r="L140" s="323">
        <f t="shared" si="41"/>
        <v>0</v>
      </c>
      <c r="M140" s="323">
        <f t="shared" si="41"/>
        <v>0</v>
      </c>
      <c r="N140" s="323">
        <f t="shared" si="41"/>
        <v>0</v>
      </c>
      <c r="O140" s="323">
        <f t="shared" si="41"/>
        <v>220.59</v>
      </c>
      <c r="P140" s="323">
        <f t="shared" si="41"/>
        <v>15.009999999999991</v>
      </c>
      <c r="Q140" s="357">
        <f t="shared" si="41"/>
        <v>1.0680447889750215</v>
      </c>
      <c r="R140" s="323">
        <f t="shared" si="41"/>
        <v>118.46</v>
      </c>
      <c r="S140" s="323">
        <f t="shared" si="41"/>
        <v>75.78000000000002</v>
      </c>
      <c r="T140" s="357">
        <f t="shared" si="41"/>
        <v>1.639709606618268</v>
      </c>
      <c r="U140" s="323">
        <f t="shared" si="41"/>
        <v>20.5</v>
      </c>
      <c r="V140" s="323">
        <f t="shared" si="41"/>
        <v>0</v>
      </c>
      <c r="W140" s="323">
        <f t="shared" si="41"/>
        <v>-20.5</v>
      </c>
      <c r="X140" s="357">
        <f t="shared" si="41"/>
        <v>0</v>
      </c>
      <c r="Y140" s="446">
        <f aca="true" t="shared" si="42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3" ref="D141:X141">D56</f>
        <v>158</v>
      </c>
      <c r="E141" s="333">
        <f t="shared" si="43"/>
        <v>158</v>
      </c>
      <c r="F141" s="333">
        <f t="shared" si="43"/>
        <v>56</v>
      </c>
      <c r="G141" s="333">
        <f t="shared" si="43"/>
        <v>51.82</v>
      </c>
      <c r="H141" s="333">
        <f t="shared" si="43"/>
        <v>-4.18</v>
      </c>
      <c r="I141" s="442">
        <f t="shared" si="43"/>
        <v>0.9253571428571429</v>
      </c>
      <c r="J141" s="333">
        <f t="shared" si="43"/>
        <v>-106.18</v>
      </c>
      <c r="K141" s="442">
        <f t="shared" si="43"/>
        <v>0.3279746835443038</v>
      </c>
      <c r="L141" s="333">
        <f t="shared" si="43"/>
        <v>0</v>
      </c>
      <c r="M141" s="333">
        <f t="shared" si="43"/>
        <v>0</v>
      </c>
      <c r="N141" s="333">
        <f t="shared" si="43"/>
        <v>0</v>
      </c>
      <c r="O141" s="333">
        <f t="shared" si="43"/>
        <v>153.3</v>
      </c>
      <c r="P141" s="333">
        <f t="shared" si="43"/>
        <v>4.699999999999989</v>
      </c>
      <c r="Q141" s="442">
        <f t="shared" si="43"/>
        <v>1.030658838878017</v>
      </c>
      <c r="R141" s="333">
        <f t="shared" si="43"/>
        <v>92.8</v>
      </c>
      <c r="S141" s="333">
        <f t="shared" si="43"/>
        <v>-40.98</v>
      </c>
      <c r="T141" s="442">
        <f t="shared" si="43"/>
        <v>0.5584051724137932</v>
      </c>
      <c r="U141" s="333">
        <f t="shared" si="43"/>
        <v>14</v>
      </c>
      <c r="V141" s="333">
        <f t="shared" si="43"/>
        <v>0</v>
      </c>
      <c r="W141" s="333">
        <f t="shared" si="43"/>
        <v>-14</v>
      </c>
      <c r="X141" s="357">
        <f t="shared" si="43"/>
        <v>0</v>
      </c>
      <c r="Y141" s="446">
        <f t="shared" si="42"/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 aca="true" t="shared" si="44" ref="D142:X142">D57</f>
        <v>13</v>
      </c>
      <c r="E142" s="338">
        <f t="shared" si="44"/>
        <v>13</v>
      </c>
      <c r="F142" s="338">
        <f t="shared" si="44"/>
        <v>6</v>
      </c>
      <c r="G142" s="338">
        <f t="shared" si="44"/>
        <v>2.02</v>
      </c>
      <c r="H142" s="338">
        <f t="shared" si="44"/>
        <v>-3.98</v>
      </c>
      <c r="I142" s="443">
        <f t="shared" si="44"/>
        <v>0.33666666666666667</v>
      </c>
      <c r="J142" s="338">
        <f t="shared" si="44"/>
        <v>-10.98</v>
      </c>
      <c r="K142" s="443">
        <f t="shared" si="44"/>
        <v>0.1553846153846154</v>
      </c>
      <c r="L142" s="338">
        <f t="shared" si="44"/>
        <v>0</v>
      </c>
      <c r="M142" s="338">
        <f t="shared" si="44"/>
        <v>0</v>
      </c>
      <c r="N142" s="338">
        <f t="shared" si="44"/>
        <v>0</v>
      </c>
      <c r="O142" s="338">
        <f t="shared" si="44"/>
        <v>12.95</v>
      </c>
      <c r="P142" s="338">
        <f t="shared" si="44"/>
        <v>0.05000000000000071</v>
      </c>
      <c r="Q142" s="443">
        <f t="shared" si="44"/>
        <v>1.0038610038610039</v>
      </c>
      <c r="R142" s="338">
        <f t="shared" si="44"/>
        <v>2.03</v>
      </c>
      <c r="S142" s="338">
        <f t="shared" si="44"/>
        <v>-0.009999999999999787</v>
      </c>
      <c r="T142" s="443">
        <f t="shared" si="44"/>
        <v>0</v>
      </c>
      <c r="U142" s="338">
        <f t="shared" si="44"/>
        <v>1</v>
      </c>
      <c r="V142" s="338">
        <f t="shared" si="44"/>
        <v>0</v>
      </c>
      <c r="W142" s="338">
        <f t="shared" si="44"/>
        <v>-1</v>
      </c>
      <c r="X142" s="445">
        <f t="shared" si="44"/>
        <v>0</v>
      </c>
      <c r="Y142" s="446">
        <f t="shared" si="42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aca="true" t="shared" si="45" ref="D143:X143">D58</f>
        <v>744</v>
      </c>
      <c r="E143" s="323">
        <f t="shared" si="45"/>
        <v>744</v>
      </c>
      <c r="F143" s="323">
        <f t="shared" si="45"/>
        <v>268.43</v>
      </c>
      <c r="G143" s="323">
        <f t="shared" si="45"/>
        <v>320.81</v>
      </c>
      <c r="H143" s="323">
        <f t="shared" si="45"/>
        <v>52.379999999999995</v>
      </c>
      <c r="I143" s="357">
        <f t="shared" si="45"/>
        <v>1.1951346719815221</v>
      </c>
      <c r="J143" s="323">
        <f t="shared" si="45"/>
        <v>-423.19</v>
      </c>
      <c r="K143" s="357">
        <f t="shared" si="45"/>
        <v>0.4311962365591398</v>
      </c>
      <c r="L143" s="323">
        <f t="shared" si="45"/>
        <v>0</v>
      </c>
      <c r="M143" s="323">
        <f t="shared" si="45"/>
        <v>0</v>
      </c>
      <c r="N143" s="323">
        <f t="shared" si="45"/>
        <v>0</v>
      </c>
      <c r="O143" s="323">
        <f t="shared" si="45"/>
        <v>705.31</v>
      </c>
      <c r="P143" s="323">
        <f t="shared" si="45"/>
        <v>38.690000000000055</v>
      </c>
      <c r="Q143" s="357">
        <f t="shared" si="45"/>
        <v>1.0548553118486907</v>
      </c>
      <c r="R143" s="323">
        <f t="shared" si="45"/>
        <v>442.26</v>
      </c>
      <c r="S143" s="323">
        <f t="shared" si="45"/>
        <v>-121.44999999999999</v>
      </c>
      <c r="T143" s="357">
        <f t="shared" si="45"/>
        <v>0.7253877809433366</v>
      </c>
      <c r="U143" s="323">
        <f t="shared" si="45"/>
        <v>60</v>
      </c>
      <c r="V143" s="323">
        <f t="shared" si="45"/>
        <v>75.03</v>
      </c>
      <c r="W143" s="323">
        <f t="shared" si="45"/>
        <v>15.030000000000001</v>
      </c>
      <c r="X143" s="357">
        <f t="shared" si="45"/>
        <v>1.2505</v>
      </c>
      <c r="Y143" s="446">
        <f t="shared" si="42"/>
        <v>-0.3294675309053542</v>
      </c>
      <c r="Z143" s="163"/>
    </row>
    <row r="144" spans="2:26" ht="46.5" hidden="1">
      <c r="B144" s="329" t="s">
        <v>67</v>
      </c>
      <c r="C144" s="322">
        <v>21081500</v>
      </c>
      <c r="D144" s="323">
        <f aca="true" t="shared" si="46" ref="D144:X144">D59</f>
        <v>115.5</v>
      </c>
      <c r="E144" s="323">
        <f t="shared" si="46"/>
        <v>115.5</v>
      </c>
      <c r="F144" s="323">
        <f t="shared" si="46"/>
        <v>40</v>
      </c>
      <c r="G144" s="323">
        <f t="shared" si="46"/>
        <v>39.22</v>
      </c>
      <c r="H144" s="323">
        <f t="shared" si="46"/>
        <v>-0.7800000000000011</v>
      </c>
      <c r="I144" s="357">
        <f t="shared" si="46"/>
        <v>0.9804999999999999</v>
      </c>
      <c r="J144" s="323">
        <f t="shared" si="46"/>
        <v>-76.28</v>
      </c>
      <c r="K144" s="357">
        <f t="shared" si="46"/>
        <v>0.3395670995670996</v>
      </c>
      <c r="L144" s="323">
        <f t="shared" si="46"/>
        <v>0</v>
      </c>
      <c r="M144" s="323">
        <f t="shared" si="46"/>
        <v>0</v>
      </c>
      <c r="N144" s="323">
        <f t="shared" si="46"/>
        <v>0</v>
      </c>
      <c r="O144" s="323">
        <f t="shared" si="46"/>
        <v>114.3</v>
      </c>
      <c r="P144" s="323">
        <f t="shared" si="46"/>
        <v>1.2000000000000028</v>
      </c>
      <c r="Q144" s="357">
        <f t="shared" si="46"/>
        <v>1.010498687664042</v>
      </c>
      <c r="R144" s="323">
        <f t="shared" si="46"/>
        <v>1.01</v>
      </c>
      <c r="S144" s="323">
        <f t="shared" si="46"/>
        <v>38.21</v>
      </c>
      <c r="T144" s="357">
        <f t="shared" si="46"/>
        <v>38.83168316831683</v>
      </c>
      <c r="U144" s="323">
        <f t="shared" si="46"/>
        <v>10</v>
      </c>
      <c r="V144" s="323">
        <f t="shared" si="46"/>
        <v>0</v>
      </c>
      <c r="W144" s="323">
        <f t="shared" si="46"/>
        <v>-10</v>
      </c>
      <c r="X144" s="357">
        <f t="shared" si="46"/>
        <v>0</v>
      </c>
      <c r="Y144" s="446">
        <f t="shared" si="42"/>
        <v>37.82118448065279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7" ref="E145:X145">E71</f>
        <v>3</v>
      </c>
      <c r="F145" s="323">
        <f t="shared" si="47"/>
        <v>1.5</v>
      </c>
      <c r="G145" s="323">
        <f t="shared" si="47"/>
        <v>0</v>
      </c>
      <c r="H145" s="323">
        <f t="shared" si="47"/>
        <v>-1.5</v>
      </c>
      <c r="I145" s="357">
        <f t="shared" si="47"/>
        <v>0</v>
      </c>
      <c r="J145" s="323">
        <f t="shared" si="47"/>
        <v>-3</v>
      </c>
      <c r="K145" s="357">
        <f t="shared" si="47"/>
        <v>0</v>
      </c>
      <c r="L145" s="323">
        <f t="shared" si="47"/>
        <v>0</v>
      </c>
      <c r="M145" s="323">
        <f t="shared" si="47"/>
        <v>0</v>
      </c>
      <c r="N145" s="323">
        <f t="shared" si="47"/>
        <v>0</v>
      </c>
      <c r="O145" s="323">
        <f t="shared" si="47"/>
        <v>2.04</v>
      </c>
      <c r="P145" s="323">
        <f t="shared" si="47"/>
        <v>0.96</v>
      </c>
      <c r="Q145" s="357">
        <f t="shared" si="47"/>
        <v>1.4705882352941175</v>
      </c>
      <c r="R145" s="323">
        <f t="shared" si="47"/>
        <v>2.04</v>
      </c>
      <c r="S145" s="323">
        <f t="shared" si="47"/>
        <v>-2.04</v>
      </c>
      <c r="T145" s="357">
        <f t="shared" si="47"/>
        <v>0</v>
      </c>
      <c r="U145" s="323">
        <f t="shared" si="47"/>
        <v>0</v>
      </c>
      <c r="V145" s="323">
        <f t="shared" si="47"/>
        <v>0</v>
      </c>
      <c r="W145" s="323">
        <f t="shared" si="47"/>
        <v>0</v>
      </c>
      <c r="X145" s="357">
        <f t="shared" si="47"/>
        <v>0</v>
      </c>
      <c r="Y145" s="446">
        <f t="shared" si="42"/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 aca="true" t="shared" si="48" ref="E146:X147">E78</f>
        <v>35</v>
      </c>
      <c r="F146" s="345">
        <f t="shared" si="48"/>
        <v>15.37</v>
      </c>
      <c r="G146" s="345">
        <f t="shared" si="48"/>
        <v>4.74</v>
      </c>
      <c r="H146" s="345">
        <f t="shared" si="48"/>
        <v>-10.629999999999999</v>
      </c>
      <c r="I146" s="444">
        <f t="shared" si="48"/>
        <v>0.3083929733246585</v>
      </c>
      <c r="J146" s="345">
        <f t="shared" si="48"/>
        <v>-30.259999999999998</v>
      </c>
      <c r="K146" s="444">
        <f t="shared" si="48"/>
        <v>0.13542857142857143</v>
      </c>
      <c r="L146" s="345">
        <f t="shared" si="48"/>
        <v>0</v>
      </c>
      <c r="M146" s="345">
        <f t="shared" si="48"/>
        <v>0</v>
      </c>
      <c r="N146" s="345">
        <f t="shared" si="48"/>
        <v>0</v>
      </c>
      <c r="O146" s="345">
        <f t="shared" si="48"/>
        <v>34.22</v>
      </c>
      <c r="P146" s="345">
        <f t="shared" si="48"/>
        <v>0.7800000000000011</v>
      </c>
      <c r="Q146" s="444">
        <f t="shared" si="48"/>
        <v>1.0227936879018118</v>
      </c>
      <c r="R146" s="345">
        <f t="shared" si="48"/>
        <v>22.35</v>
      </c>
      <c r="S146" s="345">
        <f t="shared" si="48"/>
        <v>-17.61</v>
      </c>
      <c r="T146" s="444">
        <f t="shared" si="48"/>
        <v>0.21208053691275167</v>
      </c>
      <c r="U146" s="345">
        <f t="shared" si="48"/>
        <v>2.8999999999999986</v>
      </c>
      <c r="V146" s="345">
        <f t="shared" si="48"/>
        <v>0</v>
      </c>
      <c r="W146" s="345">
        <f t="shared" si="48"/>
        <v>-2.8999999999999986</v>
      </c>
      <c r="X146" s="444">
        <f t="shared" si="48"/>
        <v>0</v>
      </c>
      <c r="Y146" s="446">
        <f t="shared" si="42"/>
        <v>-0.8107131509890602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8"/>
        <v>0</v>
      </c>
      <c r="F147" s="345">
        <f t="shared" si="48"/>
        <v>0</v>
      </c>
      <c r="G147" s="345">
        <f t="shared" si="48"/>
        <v>0.5</v>
      </c>
      <c r="H147" s="345">
        <f t="shared" si="48"/>
        <v>0.5</v>
      </c>
      <c r="I147" s="444" t="e">
        <f t="shared" si="48"/>
        <v>#DIV/0!</v>
      </c>
      <c r="J147" s="345">
        <f t="shared" si="48"/>
        <v>0.5</v>
      </c>
      <c r="K147" s="444">
        <f t="shared" si="48"/>
        <v>0</v>
      </c>
      <c r="L147" s="345">
        <f t="shared" si="48"/>
        <v>0</v>
      </c>
      <c r="M147" s="345">
        <f t="shared" si="48"/>
        <v>0</v>
      </c>
      <c r="N147" s="345">
        <f t="shared" si="48"/>
        <v>0</v>
      </c>
      <c r="O147" s="345">
        <f t="shared" si="48"/>
        <v>-4.86</v>
      </c>
      <c r="P147" s="345">
        <f t="shared" si="48"/>
        <v>4.86</v>
      </c>
      <c r="Q147" s="444">
        <f t="shared" si="48"/>
        <v>0</v>
      </c>
      <c r="R147" s="345">
        <f t="shared" si="48"/>
        <v>-5.25</v>
      </c>
      <c r="S147" s="345">
        <f t="shared" si="48"/>
        <v>5.75</v>
      </c>
      <c r="T147" s="444">
        <f t="shared" si="48"/>
        <v>-0.09523809523809523</v>
      </c>
      <c r="U147" s="345">
        <f t="shared" si="48"/>
        <v>0</v>
      </c>
      <c r="V147" s="345">
        <f t="shared" si="48"/>
        <v>0</v>
      </c>
      <c r="W147" s="345">
        <f t="shared" si="48"/>
        <v>0</v>
      </c>
      <c r="X147" s="444">
        <f t="shared" si="48"/>
        <v>0</v>
      </c>
      <c r="Y147" s="446">
        <f t="shared" si="42"/>
        <v>-0.09523809523809523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613.35</v>
      </c>
      <c r="H148" s="351">
        <f>SUM(H139:H147)</f>
        <v>85.55000000000001</v>
      </c>
      <c r="I148" s="189">
        <f>G148/F148</f>
        <v>1.162087912087912</v>
      </c>
      <c r="J148" s="351">
        <f>G148-E148</f>
        <v>-690.7499999999999</v>
      </c>
      <c r="K148" s="441">
        <f>G148/E148</f>
        <v>0.4703243616287095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-62.349999999999966</v>
      </c>
      <c r="T148" s="189">
        <f>G148/R148</f>
        <v>0.9077253218884122</v>
      </c>
      <c r="U148" s="351">
        <f>SUM(U139:U147)</f>
        <v>108.4</v>
      </c>
      <c r="V148" s="351">
        <f>SUM(V139:V147)</f>
        <v>75.03</v>
      </c>
      <c r="W148" s="351">
        <f>SUM(W139:W147)</f>
        <v>-33.37</v>
      </c>
      <c r="X148" s="189">
        <f>V148/U148</f>
        <v>0.6921586715867158</v>
      </c>
      <c r="Y148" s="189">
        <f t="shared" si="42"/>
        <v>-0.14537802614201578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9" ref="D151:X151">D60</f>
        <v>1284</v>
      </c>
      <c r="E151" s="323">
        <f t="shared" si="49"/>
        <v>1284</v>
      </c>
      <c r="F151" s="323">
        <f t="shared" si="49"/>
        <v>498</v>
      </c>
      <c r="G151" s="323">
        <f t="shared" si="49"/>
        <v>409.73</v>
      </c>
      <c r="H151" s="323">
        <f t="shared" si="49"/>
        <v>-88.26999999999998</v>
      </c>
      <c r="I151" s="357">
        <f t="shared" si="49"/>
        <v>0.8227510040160643</v>
      </c>
      <c r="J151" s="323">
        <f t="shared" si="49"/>
        <v>-874.27</v>
      </c>
      <c r="K151" s="357">
        <f t="shared" si="49"/>
        <v>0.3191043613707165</v>
      </c>
      <c r="L151" s="323">
        <f t="shared" si="49"/>
        <v>0</v>
      </c>
      <c r="M151" s="323">
        <f t="shared" si="49"/>
        <v>0</v>
      </c>
      <c r="N151" s="323">
        <f t="shared" si="49"/>
        <v>0</v>
      </c>
      <c r="O151" s="323">
        <f t="shared" si="49"/>
        <v>1205.14</v>
      </c>
      <c r="P151" s="323">
        <f t="shared" si="49"/>
        <v>78.8599999999999</v>
      </c>
      <c r="Q151" s="357">
        <f t="shared" si="49"/>
        <v>1.0654363808354215</v>
      </c>
      <c r="R151" s="323">
        <f t="shared" si="49"/>
        <v>505.13</v>
      </c>
      <c r="S151" s="323">
        <f t="shared" si="49"/>
        <v>-95.39999999999998</v>
      </c>
      <c r="T151" s="357">
        <f t="shared" si="49"/>
        <v>0.8111377269217825</v>
      </c>
      <c r="U151" s="323">
        <f t="shared" si="49"/>
        <v>114</v>
      </c>
      <c r="V151" s="323">
        <f t="shared" si="49"/>
        <v>33.34000000000003</v>
      </c>
      <c r="W151" s="323">
        <f t="shared" si="49"/>
        <v>-80.65999999999997</v>
      </c>
      <c r="X151" s="357">
        <f t="shared" si="49"/>
        <v>0.29245614035087747</v>
      </c>
      <c r="Y151" s="446">
        <f t="shared" si="42"/>
        <v>-0.25429865391363893</v>
      </c>
    </row>
    <row r="152" spans="2:25" ht="15" hidden="1">
      <c r="B152" s="355" t="s">
        <v>106</v>
      </c>
      <c r="C152" s="356">
        <v>22010200</v>
      </c>
      <c r="D152" s="323">
        <f aca="true" t="shared" si="50" ref="D152:X152">D61</f>
        <v>0</v>
      </c>
      <c r="E152" s="323">
        <f t="shared" si="50"/>
        <v>0</v>
      </c>
      <c r="F152" s="323">
        <f t="shared" si="50"/>
        <v>0</v>
      </c>
      <c r="G152" s="323">
        <f t="shared" si="50"/>
        <v>0</v>
      </c>
      <c r="H152" s="323">
        <f t="shared" si="50"/>
        <v>0</v>
      </c>
      <c r="I152" s="357" t="e">
        <f t="shared" si="50"/>
        <v>#DIV/0!</v>
      </c>
      <c r="J152" s="323">
        <f t="shared" si="50"/>
        <v>0</v>
      </c>
      <c r="K152" s="357" t="e">
        <f t="shared" si="50"/>
        <v>#DIV/0!</v>
      </c>
      <c r="L152" s="323">
        <f t="shared" si="50"/>
        <v>0</v>
      </c>
      <c r="M152" s="323">
        <f t="shared" si="50"/>
        <v>0</v>
      </c>
      <c r="N152" s="323">
        <f t="shared" si="50"/>
        <v>0</v>
      </c>
      <c r="O152" s="323">
        <f t="shared" si="50"/>
        <v>23.38</v>
      </c>
      <c r="P152" s="323">
        <f t="shared" si="50"/>
        <v>-23.38</v>
      </c>
      <c r="Q152" s="357">
        <f t="shared" si="50"/>
        <v>0</v>
      </c>
      <c r="R152" s="323">
        <f t="shared" si="50"/>
        <v>0</v>
      </c>
      <c r="S152" s="323">
        <f t="shared" si="50"/>
        <v>0</v>
      </c>
      <c r="T152" s="357">
        <f t="shared" si="50"/>
        <v>0</v>
      </c>
      <c r="U152" s="323">
        <f t="shared" si="50"/>
        <v>0</v>
      </c>
      <c r="V152" s="323">
        <f t="shared" si="50"/>
        <v>0</v>
      </c>
      <c r="W152" s="323">
        <f t="shared" si="50"/>
        <v>0</v>
      </c>
      <c r="X152" s="357" t="e">
        <f t="shared" si="50"/>
        <v>#DIV/0!</v>
      </c>
      <c r="Y152" s="446">
        <f t="shared" si="42"/>
        <v>0</v>
      </c>
    </row>
    <row r="153" spans="2:25" ht="15" hidden="1">
      <c r="B153" s="358" t="s">
        <v>65</v>
      </c>
      <c r="C153" s="359">
        <v>22012500</v>
      </c>
      <c r="D153" s="360">
        <f aca="true" t="shared" si="51" ref="D153:X153">D62</f>
        <v>21260</v>
      </c>
      <c r="E153" s="360">
        <f t="shared" si="51"/>
        <v>21260</v>
      </c>
      <c r="F153" s="360">
        <f t="shared" si="51"/>
        <v>9290</v>
      </c>
      <c r="G153" s="360">
        <f t="shared" si="51"/>
        <v>9056.68</v>
      </c>
      <c r="H153" s="360">
        <f t="shared" si="51"/>
        <v>-233.3199999999997</v>
      </c>
      <c r="I153" s="362">
        <f t="shared" si="51"/>
        <v>0.9748848223896663</v>
      </c>
      <c r="J153" s="360">
        <f t="shared" si="51"/>
        <v>-12203.32</v>
      </c>
      <c r="K153" s="362">
        <f t="shared" si="51"/>
        <v>0.42599623706491063</v>
      </c>
      <c r="L153" s="360">
        <f t="shared" si="51"/>
        <v>0</v>
      </c>
      <c r="M153" s="360">
        <f t="shared" si="51"/>
        <v>0</v>
      </c>
      <c r="N153" s="360">
        <f t="shared" si="51"/>
        <v>0</v>
      </c>
      <c r="O153" s="360">
        <f t="shared" si="51"/>
        <v>20110.14</v>
      </c>
      <c r="P153" s="360">
        <f t="shared" si="51"/>
        <v>1149.8600000000006</v>
      </c>
      <c r="Q153" s="362">
        <f t="shared" si="51"/>
        <v>1.0571781200926498</v>
      </c>
      <c r="R153" s="360">
        <f t="shared" si="51"/>
        <v>6250.27</v>
      </c>
      <c r="S153" s="360">
        <f t="shared" si="51"/>
        <v>2806.41</v>
      </c>
      <c r="T153" s="362">
        <f t="shared" si="51"/>
        <v>1.4490062029320332</v>
      </c>
      <c r="U153" s="360">
        <f t="shared" si="51"/>
        <v>1800</v>
      </c>
      <c r="V153" s="360">
        <f t="shared" si="51"/>
        <v>764.2200000000012</v>
      </c>
      <c r="W153" s="360">
        <f t="shared" si="51"/>
        <v>-1035.7799999999988</v>
      </c>
      <c r="X153" s="362">
        <f t="shared" si="51"/>
        <v>0.4245666666666673</v>
      </c>
      <c r="Y153" s="446">
        <f t="shared" si="42"/>
        <v>0.3918280828393834</v>
      </c>
    </row>
    <row r="154" spans="2:25" ht="30.75" hidden="1">
      <c r="B154" s="358" t="s">
        <v>86</v>
      </c>
      <c r="C154" s="359">
        <v>22012600</v>
      </c>
      <c r="D154" s="360">
        <f aca="true" t="shared" si="52" ref="D154:X154">D63</f>
        <v>767</v>
      </c>
      <c r="E154" s="360">
        <f t="shared" si="52"/>
        <v>767</v>
      </c>
      <c r="F154" s="360">
        <f t="shared" si="52"/>
        <v>313</v>
      </c>
      <c r="G154" s="360">
        <f t="shared" si="52"/>
        <v>294.33</v>
      </c>
      <c r="H154" s="360">
        <f t="shared" si="52"/>
        <v>-18.670000000000016</v>
      </c>
      <c r="I154" s="362">
        <f t="shared" si="52"/>
        <v>0.9403514376996804</v>
      </c>
      <c r="J154" s="360">
        <f t="shared" si="52"/>
        <v>-472.67</v>
      </c>
      <c r="K154" s="362">
        <f t="shared" si="52"/>
        <v>0.38374185136897</v>
      </c>
      <c r="L154" s="360">
        <f t="shared" si="52"/>
        <v>0</v>
      </c>
      <c r="M154" s="360">
        <f t="shared" si="52"/>
        <v>0</v>
      </c>
      <c r="N154" s="360">
        <f t="shared" si="52"/>
        <v>0</v>
      </c>
      <c r="O154" s="360">
        <f t="shared" si="52"/>
        <v>710.04</v>
      </c>
      <c r="P154" s="360">
        <f t="shared" si="52"/>
        <v>56.960000000000036</v>
      </c>
      <c r="Q154" s="362">
        <f t="shared" si="52"/>
        <v>1.0802208326291478</v>
      </c>
      <c r="R154" s="360">
        <f t="shared" si="52"/>
        <v>216.35</v>
      </c>
      <c r="S154" s="360">
        <f t="shared" si="52"/>
        <v>77.97999999999999</v>
      </c>
      <c r="T154" s="362">
        <f t="shared" si="52"/>
        <v>1.3604344811647793</v>
      </c>
      <c r="U154" s="360">
        <f t="shared" si="52"/>
        <v>64</v>
      </c>
      <c r="V154" s="360">
        <f t="shared" si="52"/>
        <v>21.47999999999996</v>
      </c>
      <c r="W154" s="360">
        <f t="shared" si="52"/>
        <v>-42.52000000000004</v>
      </c>
      <c r="X154" s="362">
        <f t="shared" si="52"/>
        <v>0.3356249999999994</v>
      </c>
      <c r="Y154" s="446">
        <f t="shared" si="42"/>
        <v>0.28021364853563147</v>
      </c>
    </row>
    <row r="155" spans="2:25" ht="30.75" hidden="1">
      <c r="B155" s="358" t="s">
        <v>90</v>
      </c>
      <c r="C155" s="359">
        <v>22012900</v>
      </c>
      <c r="D155" s="360">
        <f aca="true" t="shared" si="53" ref="D155:X155">D64</f>
        <v>44</v>
      </c>
      <c r="E155" s="360">
        <f t="shared" si="53"/>
        <v>44</v>
      </c>
      <c r="F155" s="360">
        <f t="shared" si="53"/>
        <v>16</v>
      </c>
      <c r="G155" s="360">
        <f t="shared" si="53"/>
        <v>13.06</v>
      </c>
      <c r="H155" s="360">
        <f t="shared" si="53"/>
        <v>-2.9399999999999995</v>
      </c>
      <c r="I155" s="362">
        <f t="shared" si="53"/>
        <v>0.81625</v>
      </c>
      <c r="J155" s="360">
        <f t="shared" si="53"/>
        <v>-30.939999999999998</v>
      </c>
      <c r="K155" s="362">
        <f t="shared" si="53"/>
        <v>0.2968181818181818</v>
      </c>
      <c r="L155" s="360">
        <f t="shared" si="53"/>
        <v>0</v>
      </c>
      <c r="M155" s="360">
        <f t="shared" si="53"/>
        <v>0</v>
      </c>
      <c r="N155" s="360">
        <f t="shared" si="53"/>
        <v>0</v>
      </c>
      <c r="O155" s="360">
        <f t="shared" si="53"/>
        <v>41.44</v>
      </c>
      <c r="P155" s="360">
        <f t="shared" si="53"/>
        <v>2.5600000000000023</v>
      </c>
      <c r="Q155" s="362">
        <f t="shared" si="53"/>
        <v>1.0617760617760619</v>
      </c>
      <c r="R155" s="360">
        <f t="shared" si="53"/>
        <v>12.32</v>
      </c>
      <c r="S155" s="360">
        <f t="shared" si="53"/>
        <v>0.7400000000000002</v>
      </c>
      <c r="T155" s="362">
        <f t="shared" si="53"/>
        <v>1.0600649350649352</v>
      </c>
      <c r="U155" s="360">
        <f t="shared" si="53"/>
        <v>4</v>
      </c>
      <c r="V155" s="360">
        <f t="shared" si="53"/>
        <v>0</v>
      </c>
      <c r="W155" s="360">
        <f t="shared" si="53"/>
        <v>-4</v>
      </c>
      <c r="X155" s="362">
        <f t="shared" si="53"/>
        <v>0</v>
      </c>
      <c r="Y155" s="446">
        <f t="shared" si="42"/>
        <v>-0.0017111267111267203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54" ref="E156:W156">SUM(E151:E155)</f>
        <v>23355</v>
      </c>
      <c r="F156" s="351">
        <f t="shared" si="54"/>
        <v>10117</v>
      </c>
      <c r="G156" s="351">
        <f t="shared" si="54"/>
        <v>9773.8</v>
      </c>
      <c r="H156" s="351">
        <f t="shared" si="54"/>
        <v>-343.1999999999997</v>
      </c>
      <c r="I156" s="189">
        <f>G156/F156</f>
        <v>0.9660769002668774</v>
      </c>
      <c r="J156" s="351">
        <f t="shared" si="54"/>
        <v>-13581.2</v>
      </c>
      <c r="K156" s="189">
        <f>G156/E156</f>
        <v>0.41848854634981797</v>
      </c>
      <c r="L156" s="351">
        <f t="shared" si="54"/>
        <v>0</v>
      </c>
      <c r="M156" s="351">
        <f t="shared" si="54"/>
        <v>0</v>
      </c>
      <c r="N156" s="351">
        <f t="shared" si="54"/>
        <v>0</v>
      </c>
      <c r="O156" s="351">
        <f t="shared" si="54"/>
        <v>22090.14</v>
      </c>
      <c r="P156" s="351">
        <f t="shared" si="54"/>
        <v>1264.8600000000006</v>
      </c>
      <c r="Q156" s="189">
        <f>E156/O156</f>
        <v>1.0572590304995804</v>
      </c>
      <c r="R156" s="351">
        <f t="shared" si="54"/>
        <v>6984.070000000001</v>
      </c>
      <c r="S156" s="351">
        <f t="shared" si="54"/>
        <v>2789.7299999999996</v>
      </c>
      <c r="T156" s="189">
        <f>G156/R156</f>
        <v>1.3994418727189157</v>
      </c>
      <c r="U156" s="351">
        <f t="shared" si="54"/>
        <v>1982</v>
      </c>
      <c r="V156" s="351">
        <f t="shared" si="54"/>
        <v>819.0400000000011</v>
      </c>
      <c r="W156" s="351">
        <f t="shared" si="54"/>
        <v>-1162.9599999999987</v>
      </c>
      <c r="X156" s="189">
        <f>V156/U156</f>
        <v>0.4132391523713426</v>
      </c>
      <c r="Y156" s="189">
        <f t="shared" si="42"/>
        <v>0.34218284221933537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55" ref="E160:X160">E72</f>
        <v>8170</v>
      </c>
      <c r="F160" s="348">
        <f t="shared" si="55"/>
        <v>3288.65</v>
      </c>
      <c r="G160" s="348">
        <f t="shared" si="55"/>
        <v>2484.89</v>
      </c>
      <c r="H160" s="348">
        <f t="shared" si="55"/>
        <v>-803.7600000000002</v>
      </c>
      <c r="I160" s="347">
        <f t="shared" si="55"/>
        <v>0.7555957611785991</v>
      </c>
      <c r="J160" s="348">
        <f t="shared" si="55"/>
        <v>-5685.110000000001</v>
      </c>
      <c r="K160" s="347">
        <f t="shared" si="55"/>
        <v>0.30414810281517746</v>
      </c>
      <c r="L160" s="348">
        <f t="shared" si="55"/>
        <v>0</v>
      </c>
      <c r="M160" s="348">
        <f t="shared" si="55"/>
        <v>0</v>
      </c>
      <c r="N160" s="348">
        <f t="shared" si="55"/>
        <v>0</v>
      </c>
      <c r="O160" s="348">
        <f t="shared" si="55"/>
        <v>8086.92</v>
      </c>
      <c r="P160" s="348">
        <f t="shared" si="55"/>
        <v>83.07999999999993</v>
      </c>
      <c r="Q160" s="347">
        <f t="shared" si="55"/>
        <v>1.0102733797292418</v>
      </c>
      <c r="R160" s="348">
        <f t="shared" si="55"/>
        <v>4037.14</v>
      </c>
      <c r="S160" s="348">
        <f t="shared" si="55"/>
        <v>-1552.25</v>
      </c>
      <c r="T160" s="347">
        <f t="shared" si="55"/>
        <v>0.6155075127441704</v>
      </c>
      <c r="U160" s="348">
        <f t="shared" si="55"/>
        <v>680</v>
      </c>
      <c r="V160" s="348">
        <f t="shared" si="55"/>
        <v>450.8599999999999</v>
      </c>
      <c r="W160" s="348">
        <f t="shared" si="55"/>
        <v>-229.1400000000001</v>
      </c>
      <c r="X160" s="347">
        <f t="shared" si="55"/>
        <v>0.6630294117647058</v>
      </c>
      <c r="Y160" s="189">
        <f t="shared" si="42"/>
        <v>-0.39476586698507143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56" ref="E161:X161">E76</f>
        <v>174.4</v>
      </c>
      <c r="F161" s="348">
        <f t="shared" si="56"/>
        <v>20</v>
      </c>
      <c r="G161" s="348">
        <f t="shared" si="56"/>
        <v>0</v>
      </c>
      <c r="H161" s="348">
        <f t="shared" si="56"/>
        <v>-20</v>
      </c>
      <c r="I161" s="347">
        <f t="shared" si="56"/>
        <v>0</v>
      </c>
      <c r="J161" s="348">
        <f t="shared" si="56"/>
        <v>-174.4</v>
      </c>
      <c r="K161" s="347">
        <f t="shared" si="56"/>
        <v>0</v>
      </c>
      <c r="L161" s="348">
        <f t="shared" si="56"/>
        <v>0</v>
      </c>
      <c r="M161" s="348">
        <f t="shared" si="56"/>
        <v>0</v>
      </c>
      <c r="N161" s="348">
        <f t="shared" si="56"/>
        <v>0</v>
      </c>
      <c r="O161" s="348">
        <f t="shared" si="56"/>
        <v>142.18</v>
      </c>
      <c r="P161" s="348">
        <f t="shared" si="56"/>
        <v>32.22</v>
      </c>
      <c r="Q161" s="347">
        <f t="shared" si="56"/>
        <v>1.2266141510761006</v>
      </c>
      <c r="R161" s="348">
        <f t="shared" si="56"/>
        <v>54.64</v>
      </c>
      <c r="S161" s="348">
        <f t="shared" si="56"/>
        <v>-54.64</v>
      </c>
      <c r="T161" s="347">
        <f t="shared" si="56"/>
        <v>0</v>
      </c>
      <c r="U161" s="348">
        <f t="shared" si="56"/>
        <v>0</v>
      </c>
      <c r="V161" s="348">
        <f t="shared" si="56"/>
        <v>0</v>
      </c>
      <c r="W161" s="348">
        <f t="shared" si="56"/>
        <v>0</v>
      </c>
      <c r="X161" s="347" t="e">
        <f t="shared" si="56"/>
        <v>#DIV/0!</v>
      </c>
      <c r="Y161" s="189">
        <f t="shared" si="42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57" ref="E162:W162">SUM(E160:E161)</f>
        <v>8344.4</v>
      </c>
      <c r="F162" s="351">
        <f t="shared" si="57"/>
        <v>3308.65</v>
      </c>
      <c r="G162" s="351">
        <f t="shared" si="57"/>
        <v>2484.89</v>
      </c>
      <c r="H162" s="351">
        <f t="shared" si="57"/>
        <v>-823.7600000000002</v>
      </c>
      <c r="I162" s="189">
        <f>G162/F162</f>
        <v>0.7510283650431444</v>
      </c>
      <c r="J162" s="351">
        <f t="shared" si="57"/>
        <v>-5859.51</v>
      </c>
      <c r="K162" s="189">
        <f>G162/E162</f>
        <v>0.2977913331096304</v>
      </c>
      <c r="L162" s="351">
        <f t="shared" si="57"/>
        <v>0</v>
      </c>
      <c r="M162" s="351">
        <f t="shared" si="57"/>
        <v>0</v>
      </c>
      <c r="N162" s="351">
        <f t="shared" si="57"/>
        <v>0</v>
      </c>
      <c r="O162" s="351">
        <f t="shared" si="57"/>
        <v>8229.1</v>
      </c>
      <c r="P162" s="351">
        <f t="shared" si="57"/>
        <v>115.29999999999993</v>
      </c>
      <c r="Q162" s="189">
        <f>E162/O162</f>
        <v>1.0140112527493892</v>
      </c>
      <c r="R162" s="351">
        <f t="shared" si="57"/>
        <v>4091.7799999999997</v>
      </c>
      <c r="S162" s="351">
        <f t="shared" si="57"/>
        <v>-1606.89</v>
      </c>
      <c r="T162" s="189">
        <f>G162/R162</f>
        <v>0.6072882706303858</v>
      </c>
      <c r="U162" s="351">
        <f t="shared" si="57"/>
        <v>680</v>
      </c>
      <c r="V162" s="351">
        <f t="shared" si="57"/>
        <v>450.8599999999999</v>
      </c>
      <c r="W162" s="351">
        <f t="shared" si="57"/>
        <v>-229.1400000000001</v>
      </c>
      <c r="X162" s="189">
        <f>V162/U162</f>
        <v>0.6630294117647058</v>
      </c>
      <c r="Y162" s="189">
        <f t="shared" si="42"/>
        <v>-0.4067229821190034</v>
      </c>
    </row>
    <row r="163" ht="15" hidden="1"/>
  </sheetData>
  <sheetProtection/>
  <mergeCells count="30">
    <mergeCell ref="B112:C112"/>
    <mergeCell ref="G112:H112"/>
    <mergeCell ref="G107:H107"/>
    <mergeCell ref="G108:H108"/>
    <mergeCell ref="G109:H109"/>
    <mergeCell ref="B110:C110"/>
    <mergeCell ref="G110:H110"/>
    <mergeCell ref="G111:H111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7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A7" sqref="AA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68" t="s">
        <v>238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186"/>
    </row>
    <row r="2" spans="2:25" s="1" customFormat="1" ht="15.75" customHeight="1">
      <c r="B2" s="469"/>
      <c r="C2" s="469"/>
      <c r="D2" s="469"/>
      <c r="E2" s="469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0"/>
      <c r="B3" s="472"/>
      <c r="C3" s="473" t="s">
        <v>0</v>
      </c>
      <c r="D3" s="474" t="s">
        <v>131</v>
      </c>
      <c r="E3" s="474" t="s">
        <v>221</v>
      </c>
      <c r="F3" s="25"/>
      <c r="G3" s="475" t="s">
        <v>26</v>
      </c>
      <c r="H3" s="476"/>
      <c r="I3" s="476"/>
      <c r="J3" s="476"/>
      <c r="K3" s="47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8" t="s">
        <v>227</v>
      </c>
      <c r="V3" s="481" t="s">
        <v>228</v>
      </c>
      <c r="W3" s="481"/>
      <c r="X3" s="481"/>
      <c r="Y3" s="194"/>
    </row>
    <row r="4" spans="1:24" ht="22.5" customHeight="1">
      <c r="A4" s="470"/>
      <c r="B4" s="472"/>
      <c r="C4" s="473"/>
      <c r="D4" s="474"/>
      <c r="E4" s="474"/>
      <c r="F4" s="482" t="s">
        <v>224</v>
      </c>
      <c r="G4" s="484" t="s">
        <v>31</v>
      </c>
      <c r="H4" s="486" t="s">
        <v>225</v>
      </c>
      <c r="I4" s="479" t="s">
        <v>226</v>
      </c>
      <c r="J4" s="486" t="s">
        <v>132</v>
      </c>
      <c r="K4" s="47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79"/>
      <c r="V4" s="488" t="s">
        <v>231</v>
      </c>
      <c r="W4" s="486" t="s">
        <v>44</v>
      </c>
      <c r="X4" s="490" t="s">
        <v>43</v>
      </c>
    </row>
    <row r="5" spans="1:24" ht="67.5" customHeight="1">
      <c r="A5" s="471"/>
      <c r="B5" s="472"/>
      <c r="C5" s="473"/>
      <c r="D5" s="474"/>
      <c r="E5" s="474"/>
      <c r="F5" s="483"/>
      <c r="G5" s="485"/>
      <c r="H5" s="487"/>
      <c r="I5" s="480"/>
      <c r="J5" s="487"/>
      <c r="K5" s="480"/>
      <c r="L5" s="491" t="s">
        <v>135</v>
      </c>
      <c r="M5" s="492"/>
      <c r="N5" s="493"/>
      <c r="O5" s="494" t="s">
        <v>210</v>
      </c>
      <c r="P5" s="495"/>
      <c r="Q5" s="496"/>
      <c r="R5" s="497" t="s">
        <v>229</v>
      </c>
      <c r="S5" s="497"/>
      <c r="T5" s="497"/>
      <c r="U5" s="480"/>
      <c r="V5" s="489"/>
      <c r="W5" s="487"/>
      <c r="X5" s="49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2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>
        <f t="shared" si="6"/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>
        <f t="shared" si="6"/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465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465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465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465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465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465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f>G38+G40</f>
        <v>17995.91</v>
      </c>
      <c r="H36" s="158">
        <f t="shared" si="9"/>
        <v>-1299.3200000000033</v>
      </c>
      <c r="I36" s="212">
        <f t="shared" si="12"/>
        <v>0.9326610773750816</v>
      </c>
      <c r="J36" s="176">
        <f t="shared" si="1"/>
        <v>-42694.09</v>
      </c>
      <c r="K36" s="191">
        <f t="shared" si="15"/>
        <v>0.2965218322623167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-1308.6299999999974</v>
      </c>
      <c r="T36" s="162">
        <f t="shared" si="14"/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 t="shared" si="10"/>
        <v>-583.7800000000043</v>
      </c>
      <c r="X36" s="191">
        <f aca="true" t="shared" si="18" ref="X36:X41">V36/U36*100</f>
        <v>88.1586206896551</v>
      </c>
      <c r="Y36" s="197">
        <f t="shared" si="16"/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465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465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465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465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466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465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465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 t="shared" si="34"/>
        <v>84.71000000000049</v>
      </c>
      <c r="X97" s="151">
        <f>V97/U97</f>
        <v>5.7858757062147665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499"/>
      <c r="H106" s="499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499"/>
      <c r="H107" s="499"/>
      <c r="I107" s="273"/>
      <c r="J107" s="276"/>
    </row>
    <row r="108" spans="3:10" ht="15">
      <c r="C108" s="271"/>
      <c r="D108" s="4"/>
      <c r="F108" s="278"/>
      <c r="G108" s="500"/>
      <c r="H108" s="500"/>
      <c r="I108" s="279"/>
      <c r="J108" s="274"/>
    </row>
    <row r="109" spans="2:10" ht="16.5">
      <c r="B109" s="501" t="s">
        <v>165</v>
      </c>
      <c r="C109" s="502"/>
      <c r="D109" s="280"/>
      <c r="E109" s="434">
        <f>'[1]залишки'!$G$6/1000</f>
        <v>47.539</v>
      </c>
      <c r="F109" s="282" t="s">
        <v>166</v>
      </c>
      <c r="G109" s="499"/>
      <c r="H109" s="499"/>
      <c r="I109" s="283"/>
      <c r="J109" s="274"/>
    </row>
    <row r="110" spans="4:10" ht="15">
      <c r="D110" s="4"/>
      <c r="F110" s="278"/>
      <c r="G110" s="499"/>
      <c r="H110" s="499"/>
      <c r="I110" s="278"/>
      <c r="J110" s="281"/>
    </row>
    <row r="111" spans="2:10" ht="15" customHeight="1">
      <c r="B111" s="498"/>
      <c r="C111" s="498"/>
      <c r="D111" s="285"/>
      <c r="E111" s="286"/>
      <c r="F111" s="278"/>
      <c r="G111" s="499"/>
      <c r="H111" s="49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645</v>
      </c>
      <c r="G112" s="435">
        <f t="shared" si="36"/>
        <v>662.3</v>
      </c>
      <c r="H112" s="278">
        <f t="shared" si="36"/>
        <v>17.30000000000001</v>
      </c>
      <c r="I112" s="436">
        <f>G112/F112</f>
        <v>1.0268217054263564</v>
      </c>
      <c r="J112" s="278">
        <f t="shared" si="36"/>
        <v>-1432.7</v>
      </c>
      <c r="K112" s="436">
        <f>G112/E112</f>
        <v>0.3161336515513126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580.2</v>
      </c>
      <c r="S112" s="278">
        <f t="shared" si="36"/>
        <v>82.09999999999998</v>
      </c>
      <c r="T112" s="436">
        <f>G112/R112</f>
        <v>1.1415029300241295</v>
      </c>
      <c r="U112" s="278">
        <f t="shared" si="36"/>
        <v>168</v>
      </c>
      <c r="V112" s="288">
        <f t="shared" si="36"/>
        <v>172.05000000000004</v>
      </c>
      <c r="W112" s="278">
        <f t="shared" si="36"/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34942.189</v>
      </c>
      <c r="G124" s="295">
        <f t="shared" si="38"/>
        <v>9567.269999999997</v>
      </c>
      <c r="H124" s="295">
        <f t="shared" si="38"/>
        <v>-25374.919</v>
      </c>
      <c r="I124" s="447">
        <f t="shared" si="37"/>
        <v>0.27380282328619987</v>
      </c>
      <c r="J124" s="295">
        <f t="shared" si="38"/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524168.549</v>
      </c>
      <c r="G125" s="295">
        <f t="shared" si="39"/>
        <v>524410.6799999999</v>
      </c>
      <c r="H125" s="295">
        <f t="shared" si="39"/>
        <v>242.1309999999903</v>
      </c>
      <c r="I125" s="447">
        <f t="shared" si="37"/>
        <v>1.0004619334762872</v>
      </c>
      <c r="J125" s="295">
        <f t="shared" si="39"/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846255.279</v>
      </c>
      <c r="G130" s="314">
        <f t="shared" si="40"/>
        <v>524410.6799999999</v>
      </c>
      <c r="H130" s="314">
        <f t="shared" si="40"/>
        <v>-321844.599</v>
      </c>
      <c r="I130" s="449">
        <f t="shared" si="37"/>
        <v>0.6196837916564417</v>
      </c>
      <c r="J130" s="314">
        <f t="shared" si="40"/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42</v>
      </c>
      <c r="G140" s="333">
        <f t="shared" si="43"/>
        <v>51.82</v>
      </c>
      <c r="H140" s="333">
        <f t="shared" si="43"/>
        <v>9.82</v>
      </c>
      <c r="I140" s="442">
        <f t="shared" si="43"/>
        <v>1.233809523809524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82.8</v>
      </c>
      <c r="S140" s="333">
        <f t="shared" si="43"/>
        <v>-30.979999999999997</v>
      </c>
      <c r="T140" s="442">
        <f t="shared" si="43"/>
        <v>0.6258454106280193</v>
      </c>
      <c r="U140" s="333">
        <f t="shared" si="43"/>
        <v>14</v>
      </c>
      <c r="V140" s="333">
        <f t="shared" si="43"/>
        <v>0</v>
      </c>
      <c r="W140" s="333">
        <f t="shared" si="43"/>
        <v>-14</v>
      </c>
      <c r="X140" s="357">
        <f t="shared" si="43"/>
        <v>0</v>
      </c>
      <c r="Y140" s="446">
        <f t="shared" si="42"/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5</v>
      </c>
      <c r="G141" s="338">
        <f t="shared" si="43"/>
        <v>2.02</v>
      </c>
      <c r="H141" s="338">
        <f t="shared" si="43"/>
        <v>-2.98</v>
      </c>
      <c r="I141" s="443">
        <f t="shared" si="43"/>
        <v>0.404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208.43</v>
      </c>
      <c r="G142" s="323">
        <f t="shared" si="43"/>
        <v>245.78</v>
      </c>
      <c r="H142" s="323">
        <f t="shared" si="43"/>
        <v>37.349999999999994</v>
      </c>
      <c r="I142" s="357">
        <f t="shared" si="43"/>
        <v>1.1791968526603656</v>
      </c>
      <c r="J142" s="323">
        <f t="shared" si="43"/>
        <v>-498.22</v>
      </c>
      <c r="K142" s="357">
        <f t="shared" si="43"/>
        <v>0.3303494623655914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394.48</v>
      </c>
      <c r="S142" s="323">
        <f t="shared" si="43"/>
        <v>-148.70000000000002</v>
      </c>
      <c r="T142" s="357">
        <f t="shared" si="43"/>
        <v>0.6230480632731697</v>
      </c>
      <c r="U142" s="323">
        <f t="shared" si="43"/>
        <v>60</v>
      </c>
      <c r="V142" s="323">
        <f t="shared" si="43"/>
        <v>21.189999999999998</v>
      </c>
      <c r="W142" s="323">
        <f t="shared" si="43"/>
        <v>-38.81</v>
      </c>
      <c r="X142" s="357">
        <f t="shared" si="43"/>
        <v>0.35316666666666663</v>
      </c>
      <c r="Y142" s="446">
        <f t="shared" si="42"/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30</v>
      </c>
      <c r="G143" s="323">
        <f t="shared" si="43"/>
        <v>39.22</v>
      </c>
      <c r="H143" s="323">
        <f t="shared" si="43"/>
        <v>9.219999999999999</v>
      </c>
      <c r="I143" s="357">
        <f t="shared" si="43"/>
        <v>1.3073333333333332</v>
      </c>
      <c r="J143" s="323">
        <f t="shared" si="43"/>
        <v>-76.28</v>
      </c>
      <c r="K143" s="357">
        <f t="shared" si="43"/>
        <v>0.3395670995670996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1.01</v>
      </c>
      <c r="S143" s="323">
        <f t="shared" si="43"/>
        <v>38.21</v>
      </c>
      <c r="T143" s="357">
        <f t="shared" si="43"/>
        <v>38.83168316831683</v>
      </c>
      <c r="U143" s="323">
        <f t="shared" si="43"/>
        <v>10</v>
      </c>
      <c r="V143" s="323">
        <f t="shared" si="43"/>
        <v>30.6</v>
      </c>
      <c r="W143" s="323">
        <f t="shared" si="43"/>
        <v>20.6</v>
      </c>
      <c r="X143" s="357">
        <f t="shared" si="43"/>
        <v>3.06</v>
      </c>
      <c r="Y143" s="446">
        <f t="shared" si="42"/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12.47</v>
      </c>
      <c r="G145" s="345">
        <f t="shared" si="45"/>
        <v>4.74</v>
      </c>
      <c r="H145" s="345">
        <f t="shared" si="45"/>
        <v>-7.73</v>
      </c>
      <c r="I145" s="444">
        <f t="shared" si="45"/>
        <v>0.38011226944667204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16.85</v>
      </c>
      <c r="S145" s="345">
        <f t="shared" si="45"/>
        <v>-12.110000000000001</v>
      </c>
      <c r="T145" s="444">
        <f t="shared" si="45"/>
        <v>0.2813056379821958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0.5</v>
      </c>
      <c r="H146" s="345">
        <f t="shared" si="45"/>
        <v>0.5</v>
      </c>
      <c r="I146" s="444" t="e">
        <f t="shared" si="45"/>
        <v>#DIV/0!</v>
      </c>
      <c r="J146" s="345">
        <f t="shared" si="45"/>
        <v>0.5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-5.25</v>
      </c>
      <c r="S146" s="345">
        <f t="shared" si="45"/>
        <v>5.75</v>
      </c>
      <c r="T146" s="444">
        <f t="shared" si="45"/>
        <v>-0.09523809523809523</v>
      </c>
      <c r="U146" s="345">
        <f t="shared" si="45"/>
        <v>0</v>
      </c>
      <c r="V146" s="345">
        <f t="shared" si="45"/>
        <v>0.04999999999999999</v>
      </c>
      <c r="W146" s="345">
        <f t="shared" si="45"/>
        <v>0.04999999999999999</v>
      </c>
      <c r="X146" s="444">
        <f t="shared" si="45"/>
        <v>0</v>
      </c>
      <c r="Y146" s="446">
        <f t="shared" si="42"/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 t="shared" si="42"/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384</v>
      </c>
      <c r="G150" s="323">
        <f t="shared" si="46"/>
        <v>376.39</v>
      </c>
      <c r="H150" s="323">
        <f t="shared" si="46"/>
        <v>-7.610000000000014</v>
      </c>
      <c r="I150" s="357">
        <f t="shared" si="46"/>
        <v>0.9801822916666666</v>
      </c>
      <c r="J150" s="323">
        <f t="shared" si="46"/>
        <v>-907.61</v>
      </c>
      <c r="K150" s="357">
        <f t="shared" si="46"/>
        <v>0.2931386292834891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393.47</v>
      </c>
      <c r="S150" s="323">
        <f t="shared" si="46"/>
        <v>-17.08000000000004</v>
      </c>
      <c r="T150" s="357">
        <f t="shared" si="46"/>
        <v>0.9565913538516277</v>
      </c>
      <c r="U150" s="323">
        <f t="shared" si="46"/>
        <v>100</v>
      </c>
      <c r="V150" s="323">
        <f t="shared" si="46"/>
        <v>96.06</v>
      </c>
      <c r="W150" s="323">
        <f t="shared" si="46"/>
        <v>-3.9399999999999977</v>
      </c>
      <c r="X150" s="357">
        <f t="shared" si="46"/>
        <v>0.9606</v>
      </c>
      <c r="Y150" s="446">
        <f t="shared" si="42"/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7490</v>
      </c>
      <c r="G152" s="360">
        <f t="shared" si="46"/>
        <v>8292.46</v>
      </c>
      <c r="H152" s="360">
        <f t="shared" si="46"/>
        <v>802.4599999999991</v>
      </c>
      <c r="I152" s="362">
        <f t="shared" si="46"/>
        <v>1.1071375166889184</v>
      </c>
      <c r="J152" s="360">
        <f t="shared" si="46"/>
        <v>-12967.54</v>
      </c>
      <c r="K152" s="362">
        <f t="shared" si="46"/>
        <v>0.3900498588899341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4681.51</v>
      </c>
      <c r="S152" s="360">
        <f t="shared" si="46"/>
        <v>3610.949999999999</v>
      </c>
      <c r="T152" s="362">
        <f t="shared" si="46"/>
        <v>1.771321646220984</v>
      </c>
      <c r="U152" s="360">
        <f t="shared" si="46"/>
        <v>1800</v>
      </c>
      <c r="V152" s="360">
        <f t="shared" si="46"/>
        <v>2090.5199999999995</v>
      </c>
      <c r="W152" s="360">
        <f t="shared" si="46"/>
        <v>290.5199999999995</v>
      </c>
      <c r="X152" s="362">
        <f t="shared" si="46"/>
        <v>1.1613999999999998</v>
      </c>
      <c r="Y152" s="446">
        <f t="shared" si="42"/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249</v>
      </c>
      <c r="G153" s="360">
        <f t="shared" si="46"/>
        <v>272.85</v>
      </c>
      <c r="H153" s="360">
        <f t="shared" si="46"/>
        <v>23.850000000000023</v>
      </c>
      <c r="I153" s="362">
        <f t="shared" si="46"/>
        <v>1.0957831325301206</v>
      </c>
      <c r="J153" s="360">
        <f t="shared" si="46"/>
        <v>-494.15</v>
      </c>
      <c r="K153" s="362">
        <f t="shared" si="46"/>
        <v>0.35573663624511087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175.37</v>
      </c>
      <c r="S153" s="360">
        <f t="shared" si="46"/>
        <v>97.48000000000002</v>
      </c>
      <c r="T153" s="362">
        <f t="shared" si="46"/>
        <v>1.5558533386554143</v>
      </c>
      <c r="U153" s="360">
        <f t="shared" si="46"/>
        <v>64</v>
      </c>
      <c r="V153" s="360">
        <f t="shared" si="46"/>
        <v>70.69000000000003</v>
      </c>
      <c r="W153" s="360">
        <f t="shared" si="46"/>
        <v>6.690000000000026</v>
      </c>
      <c r="X153" s="362">
        <f t="shared" si="46"/>
        <v>1.1045312500000004</v>
      </c>
      <c r="Y153" s="446">
        <f t="shared" si="42"/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12</v>
      </c>
      <c r="G154" s="360">
        <f t="shared" si="46"/>
        <v>13.06</v>
      </c>
      <c r="H154" s="360">
        <f t="shared" si="46"/>
        <v>1.0600000000000005</v>
      </c>
      <c r="I154" s="362">
        <f t="shared" si="46"/>
        <v>1.0883333333333334</v>
      </c>
      <c r="J154" s="360">
        <f t="shared" si="46"/>
        <v>-30.939999999999998</v>
      </c>
      <c r="K154" s="362">
        <f t="shared" si="46"/>
        <v>0.2968181818181818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11.36</v>
      </c>
      <c r="S154" s="360">
        <f t="shared" si="46"/>
        <v>1.700000000000001</v>
      </c>
      <c r="T154" s="362">
        <f t="shared" si="46"/>
        <v>1.1496478873239437</v>
      </c>
      <c r="U154" s="360">
        <f t="shared" si="46"/>
        <v>4</v>
      </c>
      <c r="V154" s="360">
        <f t="shared" si="46"/>
        <v>5.300000000000001</v>
      </c>
      <c r="W154" s="360">
        <f t="shared" si="46"/>
        <v>1.3000000000000007</v>
      </c>
      <c r="X154" s="362">
        <f t="shared" si="46"/>
        <v>1.3250000000000002</v>
      </c>
      <c r="Y154" s="446">
        <f t="shared" si="42"/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8135</v>
      </c>
      <c r="G155" s="351">
        <f t="shared" si="47"/>
        <v>8954.759999999998</v>
      </c>
      <c r="H155" s="351">
        <f t="shared" si="47"/>
        <v>819.7599999999991</v>
      </c>
      <c r="I155" s="189">
        <f>G155/F155</f>
        <v>1.1007695144437613</v>
      </c>
      <c r="J155" s="351">
        <f t="shared" si="47"/>
        <v>-14400.240000000002</v>
      </c>
      <c r="K155" s="189">
        <f>G155/E155</f>
        <v>0.3834193962748875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5261.71</v>
      </c>
      <c r="S155" s="351">
        <f t="shared" si="47"/>
        <v>3693.049999999999</v>
      </c>
      <c r="T155" s="189">
        <f>G155/R155</f>
        <v>1.701872585148174</v>
      </c>
      <c r="U155" s="351">
        <f t="shared" si="47"/>
        <v>1968</v>
      </c>
      <c r="V155" s="351">
        <f t="shared" si="47"/>
        <v>2262.5699999999997</v>
      </c>
      <c r="W155" s="351">
        <f t="shared" si="47"/>
        <v>294.56999999999954</v>
      </c>
      <c r="X155" s="189">
        <f>V155/U155</f>
        <v>1.1496798780487802</v>
      </c>
      <c r="Y155" s="189">
        <f t="shared" si="42"/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2608.65</v>
      </c>
      <c r="G159" s="348">
        <f t="shared" si="48"/>
        <v>2034.03</v>
      </c>
      <c r="H159" s="348">
        <f t="shared" si="48"/>
        <v>-574.6200000000001</v>
      </c>
      <c r="I159" s="347">
        <f t="shared" si="48"/>
        <v>0.7797251451900408</v>
      </c>
      <c r="J159" s="348">
        <f t="shared" si="48"/>
        <v>-6135.97</v>
      </c>
      <c r="K159" s="347">
        <f t="shared" si="48"/>
        <v>0.24896328029375764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3536.21</v>
      </c>
      <c r="S159" s="348">
        <f t="shared" si="48"/>
        <v>-1502.18</v>
      </c>
      <c r="T159" s="347">
        <f t="shared" si="48"/>
        <v>0.5752005678395796</v>
      </c>
      <c r="U159" s="348">
        <f t="shared" si="48"/>
        <v>680</v>
      </c>
      <c r="V159" s="348">
        <f t="shared" si="48"/>
        <v>535.3299999999999</v>
      </c>
      <c r="W159" s="348">
        <f t="shared" si="48"/>
        <v>-144.67000000000007</v>
      </c>
      <c r="X159" s="347">
        <f t="shared" si="48"/>
        <v>0.7872499999999999</v>
      </c>
      <c r="Y159" s="189">
        <f t="shared" si="42"/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20</v>
      </c>
      <c r="G160" s="348">
        <f t="shared" si="49"/>
        <v>0</v>
      </c>
      <c r="H160" s="348">
        <f t="shared" si="49"/>
        <v>-20</v>
      </c>
      <c r="I160" s="347">
        <f t="shared" si="49"/>
        <v>0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54.64</v>
      </c>
      <c r="S160" s="348">
        <f t="shared" si="49"/>
        <v>-54.64</v>
      </c>
      <c r="T160" s="347">
        <f t="shared" si="49"/>
        <v>0</v>
      </c>
      <c r="U160" s="348">
        <f t="shared" si="49"/>
        <v>20</v>
      </c>
      <c r="V160" s="348">
        <f t="shared" si="49"/>
        <v>0</v>
      </c>
      <c r="W160" s="348">
        <f t="shared" si="49"/>
        <v>-20</v>
      </c>
      <c r="X160" s="347">
        <f t="shared" si="49"/>
        <v>0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2628.65</v>
      </c>
      <c r="G161" s="351">
        <f t="shared" si="50"/>
        <v>2034.03</v>
      </c>
      <c r="H161" s="351">
        <f t="shared" si="50"/>
        <v>-594.6200000000001</v>
      </c>
      <c r="I161" s="189">
        <f>G161/F161</f>
        <v>0.7737926311985239</v>
      </c>
      <c r="J161" s="351">
        <f t="shared" si="50"/>
        <v>-6310.37</v>
      </c>
      <c r="K161" s="189">
        <f>G161/E161</f>
        <v>0.24375988687023634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3590.85</v>
      </c>
      <c r="S161" s="351">
        <f t="shared" si="50"/>
        <v>-1556.8200000000002</v>
      </c>
      <c r="T161" s="189">
        <f>G161/R161</f>
        <v>0.5664480554743306</v>
      </c>
      <c r="U161" s="351">
        <f t="shared" si="50"/>
        <v>700</v>
      </c>
      <c r="V161" s="351">
        <f t="shared" si="50"/>
        <v>535.3299999999999</v>
      </c>
      <c r="W161" s="351">
        <f t="shared" si="50"/>
        <v>-164.67000000000007</v>
      </c>
      <c r="X161" s="189">
        <f>V161/U161</f>
        <v>0.7647571428571428</v>
      </c>
      <c r="Y161" s="189">
        <f t="shared" si="42"/>
        <v>-0.44756319727505856</v>
      </c>
    </row>
    <row r="162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2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7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K76" sqref="K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468" t="s">
        <v>222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186"/>
    </row>
    <row r="2" spans="2:25" s="1" customFormat="1" ht="15.75" customHeight="1">
      <c r="B2" s="469"/>
      <c r="C2" s="469"/>
      <c r="D2" s="469"/>
      <c r="E2" s="469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0"/>
      <c r="B3" s="472"/>
      <c r="C3" s="473" t="s">
        <v>0</v>
      </c>
      <c r="D3" s="474" t="s">
        <v>131</v>
      </c>
      <c r="E3" s="474" t="s">
        <v>221</v>
      </c>
      <c r="F3" s="25"/>
      <c r="G3" s="475" t="s">
        <v>26</v>
      </c>
      <c r="H3" s="476"/>
      <c r="I3" s="476"/>
      <c r="J3" s="476"/>
      <c r="K3" s="47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8" t="s">
        <v>219</v>
      </c>
      <c r="V3" s="481" t="s">
        <v>220</v>
      </c>
      <c r="W3" s="481"/>
      <c r="X3" s="481"/>
      <c r="Y3" s="194"/>
    </row>
    <row r="4" spans="1:24" ht="22.5" customHeight="1">
      <c r="A4" s="470"/>
      <c r="B4" s="472"/>
      <c r="C4" s="473"/>
      <c r="D4" s="474"/>
      <c r="E4" s="474"/>
      <c r="F4" s="482" t="s">
        <v>215</v>
      </c>
      <c r="G4" s="484" t="s">
        <v>31</v>
      </c>
      <c r="H4" s="486" t="s">
        <v>216</v>
      </c>
      <c r="I4" s="479" t="s">
        <v>217</v>
      </c>
      <c r="J4" s="486" t="s">
        <v>132</v>
      </c>
      <c r="K4" s="47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79"/>
      <c r="V4" s="488" t="s">
        <v>223</v>
      </c>
      <c r="W4" s="486" t="s">
        <v>44</v>
      </c>
      <c r="X4" s="490" t="s">
        <v>43</v>
      </c>
    </row>
    <row r="5" spans="1:24" ht="67.5" customHeight="1">
      <c r="A5" s="471"/>
      <c r="B5" s="472"/>
      <c r="C5" s="473"/>
      <c r="D5" s="474"/>
      <c r="E5" s="474"/>
      <c r="F5" s="483"/>
      <c r="G5" s="485"/>
      <c r="H5" s="487"/>
      <c r="I5" s="480"/>
      <c r="J5" s="487"/>
      <c r="K5" s="480"/>
      <c r="L5" s="491" t="s">
        <v>135</v>
      </c>
      <c r="M5" s="492"/>
      <c r="N5" s="493"/>
      <c r="O5" s="494" t="s">
        <v>210</v>
      </c>
      <c r="P5" s="495"/>
      <c r="Q5" s="496"/>
      <c r="R5" s="497" t="s">
        <v>218</v>
      </c>
      <c r="S5" s="497"/>
      <c r="T5" s="497"/>
      <c r="U5" s="480"/>
      <c r="V5" s="489"/>
      <c r="W5" s="487"/>
      <c r="X5" s="49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465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465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465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465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465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465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f>G38+G40</f>
        <v>13649.69</v>
      </c>
      <c r="H36" s="158">
        <f t="shared" si="9"/>
        <v>-715.539999999999</v>
      </c>
      <c r="I36" s="212">
        <f t="shared" si="12"/>
        <v>0.9501894504995744</v>
      </c>
      <c r="J36" s="176">
        <f t="shared" si="1"/>
        <v>-47040.31</v>
      </c>
      <c r="K36" s="191">
        <f t="shared" si="15"/>
        <v>0.22490838688416545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-785.7499999999982</v>
      </c>
      <c r="T36" s="162">
        <f t="shared" si="14"/>
        <v>0.945567990999928</v>
      </c>
      <c r="U36" s="167">
        <f>F36-лютий!F36</f>
        <v>5139</v>
      </c>
      <c r="V36" s="167">
        <f>G36-лютий!G36</f>
        <v>5529.67</v>
      </c>
      <c r="W36" s="176">
        <f t="shared" si="10"/>
        <v>390.6700000000001</v>
      </c>
      <c r="X36" s="191">
        <f aca="true" t="shared" si="18" ref="X36:X41">V36/U36*100</f>
        <v>107.60206265810469</v>
      </c>
      <c r="Y36" s="197">
        <f t="shared" si="16"/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465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465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465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465">
        <f t="shared" si="16"/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466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465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465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230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 t="e">
        <f>IF(W79&lt;0,ABS(W79/C103),0)</f>
        <v>#VALUE!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499"/>
      <c r="H106" s="499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499"/>
      <c r="H107" s="499"/>
      <c r="I107" s="273"/>
      <c r="J107" s="276"/>
    </row>
    <row r="108" spans="3:10" ht="15">
      <c r="C108" s="271"/>
      <c r="D108" s="4"/>
      <c r="F108" s="278"/>
      <c r="G108" s="500"/>
      <c r="H108" s="500"/>
      <c r="I108" s="279"/>
      <c r="J108" s="274"/>
    </row>
    <row r="109" spans="2:10" ht="16.5">
      <c r="B109" s="501" t="s">
        <v>165</v>
      </c>
      <c r="C109" s="502"/>
      <c r="D109" s="280"/>
      <c r="E109" s="434">
        <f>'[1]залишки'!$G$6/1000</f>
        <v>47.539</v>
      </c>
      <c r="F109" s="282" t="s">
        <v>166</v>
      </c>
      <c r="G109" s="499"/>
      <c r="H109" s="499"/>
      <c r="I109" s="283"/>
      <c r="J109" s="274"/>
    </row>
    <row r="110" spans="4:10" ht="15">
      <c r="D110" s="4"/>
      <c r="F110" s="278"/>
      <c r="G110" s="499"/>
      <c r="H110" s="499"/>
      <c r="I110" s="278"/>
      <c r="J110" s="281"/>
    </row>
    <row r="111" spans="2:10" ht="15" customHeight="1" hidden="1">
      <c r="B111" s="498"/>
      <c r="C111" s="498"/>
      <c r="D111" s="285"/>
      <c r="E111" s="286"/>
      <c r="F111" s="278"/>
      <c r="G111" s="499"/>
      <c r="H111" s="49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477</v>
      </c>
      <c r="G112" s="435">
        <f t="shared" si="36"/>
        <v>490.25</v>
      </c>
      <c r="H112" s="278">
        <f t="shared" si="36"/>
        <v>13.24999999999998</v>
      </c>
      <c r="I112" s="436">
        <f>G112/F112</f>
        <v>1.0277777777777777</v>
      </c>
      <c r="J112" s="278">
        <f t="shared" si="36"/>
        <v>-1604.7500000000002</v>
      </c>
      <c r="K112" s="436">
        <f>G112/E112</f>
        <v>0.23400954653937947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440.15</v>
      </c>
      <c r="S112" s="278">
        <f t="shared" si="36"/>
        <v>50.1</v>
      </c>
      <c r="T112" s="436">
        <f>G112/R112</f>
        <v>1.1138248324434852</v>
      </c>
      <c r="U112" s="278">
        <f t="shared" si="36"/>
        <v>168</v>
      </c>
      <c r="V112" s="288">
        <f t="shared" si="36"/>
        <v>184.67</v>
      </c>
      <c r="W112" s="278">
        <f t="shared" si="36"/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31916.624219999998</v>
      </c>
      <c r="G124" s="295">
        <f t="shared" si="38"/>
        <v>8136.729999999998</v>
      </c>
      <c r="H124" s="295">
        <f t="shared" si="38"/>
        <v>-23779.894220000002</v>
      </c>
      <c r="I124" s="447">
        <f t="shared" si="37"/>
        <v>0.25493704922907406</v>
      </c>
      <c r="J124" s="295">
        <f t="shared" si="38"/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404112.18122</v>
      </c>
      <c r="G125" s="295">
        <f t="shared" si="39"/>
        <v>386757.50999999995</v>
      </c>
      <c r="H125" s="295">
        <f t="shared" si="39"/>
        <v>-17354.67122000008</v>
      </c>
      <c r="I125" s="447">
        <f t="shared" si="37"/>
        <v>0.9570548178785233</v>
      </c>
      <c r="J125" s="295">
        <f t="shared" si="39"/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726198.91122</v>
      </c>
      <c r="G130" s="314">
        <f t="shared" si="40"/>
        <v>386757.50999999995</v>
      </c>
      <c r="H130" s="314">
        <f t="shared" si="40"/>
        <v>-339441.40122000006</v>
      </c>
      <c r="I130" s="449">
        <f t="shared" si="37"/>
        <v>0.532577925998615</v>
      </c>
      <c r="J130" s="314">
        <f t="shared" si="40"/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28</v>
      </c>
      <c r="G140" s="333">
        <f t="shared" si="43"/>
        <v>51.82</v>
      </c>
      <c r="H140" s="333">
        <f t="shared" si="43"/>
        <v>23.82</v>
      </c>
      <c r="I140" s="442">
        <f t="shared" si="43"/>
        <v>1.8507142857142858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72.08</v>
      </c>
      <c r="S140" s="333">
        <f t="shared" si="43"/>
        <v>-20.259999999999998</v>
      </c>
      <c r="T140" s="442">
        <f t="shared" si="43"/>
        <v>0.7189234184239733</v>
      </c>
      <c r="U140" s="333">
        <f t="shared" si="43"/>
        <v>14</v>
      </c>
      <c r="V140" s="333">
        <f t="shared" si="43"/>
        <v>38.59</v>
      </c>
      <c r="W140" s="333">
        <f t="shared" si="43"/>
        <v>24.590000000000003</v>
      </c>
      <c r="X140" s="357">
        <f t="shared" si="43"/>
        <v>2.7564285714285717</v>
      </c>
      <c r="Y140" s="446">
        <f t="shared" si="42"/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4</v>
      </c>
      <c r="G141" s="338">
        <f t="shared" si="43"/>
        <v>2.02</v>
      </c>
      <c r="H141" s="338">
        <f t="shared" si="43"/>
        <v>-1.98</v>
      </c>
      <c r="I141" s="443">
        <f t="shared" si="43"/>
        <v>0.505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148.43</v>
      </c>
      <c r="G142" s="323">
        <f t="shared" si="43"/>
        <v>224.59</v>
      </c>
      <c r="H142" s="323">
        <f t="shared" si="43"/>
        <v>76.16</v>
      </c>
      <c r="I142" s="357">
        <f t="shared" si="43"/>
        <v>1.5131038199824833</v>
      </c>
      <c r="J142" s="323">
        <f t="shared" si="43"/>
        <v>-519.41</v>
      </c>
      <c r="K142" s="357">
        <f t="shared" si="43"/>
        <v>0.3018682795698925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277.76</v>
      </c>
      <c r="S142" s="323">
        <f t="shared" si="43"/>
        <v>-53.16999999999999</v>
      </c>
      <c r="T142" s="357">
        <f t="shared" si="43"/>
        <v>0.8085757488479263</v>
      </c>
      <c r="U142" s="323">
        <f t="shared" si="43"/>
        <v>60</v>
      </c>
      <c r="V142" s="323">
        <f t="shared" si="43"/>
        <v>172.41</v>
      </c>
      <c r="W142" s="323">
        <f t="shared" si="43"/>
        <v>112.41</v>
      </c>
      <c r="X142" s="357">
        <f t="shared" si="43"/>
        <v>2.8735</v>
      </c>
      <c r="Y142" s="446">
        <f t="shared" si="42"/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20</v>
      </c>
      <c r="G143" s="323">
        <f t="shared" si="43"/>
        <v>8.62</v>
      </c>
      <c r="H143" s="323">
        <f t="shared" si="43"/>
        <v>-11.38</v>
      </c>
      <c r="I143" s="357">
        <f t="shared" si="43"/>
        <v>0.43099999999999994</v>
      </c>
      <c r="J143" s="323">
        <f t="shared" si="43"/>
        <v>-106.88</v>
      </c>
      <c r="K143" s="357">
        <f t="shared" si="43"/>
        <v>0.07463203463203462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0.51</v>
      </c>
      <c r="S143" s="323">
        <f t="shared" si="43"/>
        <v>8.11</v>
      </c>
      <c r="T143" s="357">
        <f t="shared" si="43"/>
        <v>16.901960784313722</v>
      </c>
      <c r="U143" s="323">
        <f t="shared" si="43"/>
        <v>10</v>
      </c>
      <c r="V143" s="323">
        <f t="shared" si="43"/>
        <v>20.2</v>
      </c>
      <c r="W143" s="323">
        <f t="shared" si="43"/>
        <v>10.2</v>
      </c>
      <c r="X143" s="357">
        <f t="shared" si="43"/>
        <v>2.02</v>
      </c>
      <c r="Y143" s="446">
        <f t="shared" si="42"/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9.57</v>
      </c>
      <c r="G145" s="345">
        <f t="shared" si="45"/>
        <v>4.74</v>
      </c>
      <c r="H145" s="345">
        <f t="shared" si="45"/>
        <v>-4.83</v>
      </c>
      <c r="I145" s="444">
        <f t="shared" si="45"/>
        <v>0.49529780564263326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14.27</v>
      </c>
      <c r="S145" s="345">
        <f t="shared" si="45"/>
        <v>-9.53</v>
      </c>
      <c r="T145" s="444">
        <f t="shared" si="45"/>
        <v>0.33216538192011213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0.45</v>
      </c>
      <c r="H146" s="345">
        <f t="shared" si="45"/>
        <v>0.45</v>
      </c>
      <c r="I146" s="444" t="e">
        <f t="shared" si="45"/>
        <v>#DIV/0!</v>
      </c>
      <c r="J146" s="345">
        <f t="shared" si="45"/>
        <v>0.45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-5.33</v>
      </c>
      <c r="S146" s="345">
        <f t="shared" si="45"/>
        <v>5.78</v>
      </c>
      <c r="T146" s="444">
        <f t="shared" si="45"/>
        <v>-0.08442776735459663</v>
      </c>
      <c r="U146" s="345">
        <f t="shared" si="45"/>
        <v>0</v>
      </c>
      <c r="V146" s="345" t="str">
        <f t="shared" si="45"/>
        <v>ж</v>
      </c>
      <c r="W146" s="345" t="e">
        <f t="shared" si="45"/>
        <v>#VALUE!</v>
      </c>
      <c r="X146" s="444">
        <f t="shared" si="45"/>
        <v>0</v>
      </c>
      <c r="Y146" s="446">
        <f t="shared" si="42"/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231.2</v>
      </c>
      <c r="W147" s="351" t="e">
        <f>SUM(W138:W146)</f>
        <v>#VALUE!</v>
      </c>
      <c r="X147" s="189">
        <f>V147/U147</f>
        <v>2.6302616609783844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284</v>
      </c>
      <c r="G150" s="323">
        <f t="shared" si="46"/>
        <v>280.33</v>
      </c>
      <c r="H150" s="323">
        <f t="shared" si="46"/>
        <v>-3.670000000000016</v>
      </c>
      <c r="I150" s="357">
        <f t="shared" si="46"/>
        <v>0.9870774647887324</v>
      </c>
      <c r="J150" s="323">
        <f t="shared" si="46"/>
        <v>-1003.6700000000001</v>
      </c>
      <c r="K150" s="357">
        <f t="shared" si="46"/>
        <v>0.21832554517133956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300.95</v>
      </c>
      <c r="S150" s="323">
        <f t="shared" si="46"/>
        <v>-20.620000000000005</v>
      </c>
      <c r="T150" s="357">
        <f t="shared" si="46"/>
        <v>0.9314836351553414</v>
      </c>
      <c r="U150" s="323">
        <f t="shared" si="46"/>
        <v>100</v>
      </c>
      <c r="V150" s="323">
        <f t="shared" si="46"/>
        <v>103.13999999999999</v>
      </c>
      <c r="W150" s="323">
        <f t="shared" si="46"/>
        <v>3.1399999999999864</v>
      </c>
      <c r="X150" s="357">
        <f t="shared" si="46"/>
        <v>1.0313999999999999</v>
      </c>
      <c r="Y150" s="446">
        <f t="shared" si="42"/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5690</v>
      </c>
      <c r="G152" s="360">
        <f t="shared" si="46"/>
        <v>6201.94</v>
      </c>
      <c r="H152" s="360">
        <f t="shared" si="46"/>
        <v>511.9399999999996</v>
      </c>
      <c r="I152" s="362">
        <f t="shared" si="46"/>
        <v>1.0899718804920913</v>
      </c>
      <c r="J152" s="360">
        <f t="shared" si="46"/>
        <v>-15058.060000000001</v>
      </c>
      <c r="K152" s="362">
        <f t="shared" si="46"/>
        <v>0.2917187206020696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3584.94</v>
      </c>
      <c r="S152" s="360">
        <f t="shared" si="46"/>
        <v>2616.9999999999995</v>
      </c>
      <c r="T152" s="362">
        <f t="shared" si="46"/>
        <v>1.729998270542882</v>
      </c>
      <c r="U152" s="360">
        <f t="shared" si="46"/>
        <v>1800</v>
      </c>
      <c r="V152" s="360">
        <f t="shared" si="46"/>
        <v>2246.5199999999995</v>
      </c>
      <c r="W152" s="360">
        <f t="shared" si="46"/>
        <v>446.5199999999995</v>
      </c>
      <c r="X152" s="362">
        <f t="shared" si="46"/>
        <v>1.2480666666666664</v>
      </c>
      <c r="Y152" s="446">
        <f t="shared" si="42"/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185</v>
      </c>
      <c r="G153" s="360">
        <f t="shared" si="46"/>
        <v>202.16</v>
      </c>
      <c r="H153" s="360">
        <f t="shared" si="46"/>
        <v>17.159999999999997</v>
      </c>
      <c r="I153" s="362">
        <f t="shared" si="46"/>
        <v>1.0927567567567567</v>
      </c>
      <c r="J153" s="360">
        <f t="shared" si="46"/>
        <v>-564.84</v>
      </c>
      <c r="K153" s="362">
        <f t="shared" si="46"/>
        <v>0.26357235984354627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135.2</v>
      </c>
      <c r="S153" s="360">
        <f t="shared" si="46"/>
        <v>66.96000000000001</v>
      </c>
      <c r="T153" s="362">
        <f t="shared" si="46"/>
        <v>1.4952662721893493</v>
      </c>
      <c r="U153" s="360">
        <f t="shared" si="46"/>
        <v>64</v>
      </c>
      <c r="V153" s="360">
        <f t="shared" si="46"/>
        <v>80.47</v>
      </c>
      <c r="W153" s="360">
        <f t="shared" si="46"/>
        <v>16.47</v>
      </c>
      <c r="X153" s="362">
        <f t="shared" si="46"/>
        <v>1.25734375</v>
      </c>
      <c r="Y153" s="446">
        <f t="shared" si="42"/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8</v>
      </c>
      <c r="G154" s="360">
        <f t="shared" si="46"/>
        <v>7.76</v>
      </c>
      <c r="H154" s="360">
        <f t="shared" si="46"/>
        <v>-0.2400000000000002</v>
      </c>
      <c r="I154" s="362">
        <f t="shared" si="46"/>
        <v>0.97</v>
      </c>
      <c r="J154" s="360">
        <f t="shared" si="46"/>
        <v>-36.24</v>
      </c>
      <c r="K154" s="362">
        <f t="shared" si="46"/>
        <v>0.17636363636363636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4</v>
      </c>
      <c r="S154" s="360">
        <f t="shared" si="46"/>
        <v>3.76</v>
      </c>
      <c r="T154" s="362">
        <f t="shared" si="46"/>
        <v>1.94</v>
      </c>
      <c r="U154" s="360">
        <f t="shared" si="46"/>
        <v>4</v>
      </c>
      <c r="V154" s="360">
        <f t="shared" si="46"/>
        <v>1.0599999999999996</v>
      </c>
      <c r="W154" s="360">
        <f t="shared" si="46"/>
        <v>-2.9400000000000004</v>
      </c>
      <c r="X154" s="362">
        <f t="shared" si="46"/>
        <v>0.2649999999999999</v>
      </c>
      <c r="Y154" s="446">
        <f t="shared" si="42"/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6167</v>
      </c>
      <c r="G155" s="351">
        <f t="shared" si="47"/>
        <v>6692.19</v>
      </c>
      <c r="H155" s="351">
        <f t="shared" si="47"/>
        <v>525.1899999999996</v>
      </c>
      <c r="I155" s="189">
        <f>G155/F155</f>
        <v>1.085161342630128</v>
      </c>
      <c r="J155" s="351">
        <f t="shared" si="47"/>
        <v>-16662.81</v>
      </c>
      <c r="K155" s="189">
        <f>G155/E155</f>
        <v>0.28654206807964033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4025.0899999999997</v>
      </c>
      <c r="S155" s="351">
        <f t="shared" si="47"/>
        <v>2667.1</v>
      </c>
      <c r="T155" s="189">
        <f>G155/R155</f>
        <v>1.6626187240533752</v>
      </c>
      <c r="U155" s="351">
        <f t="shared" si="47"/>
        <v>1968</v>
      </c>
      <c r="V155" s="351">
        <f t="shared" si="47"/>
        <v>2431.189999999999</v>
      </c>
      <c r="W155" s="35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1928.65</v>
      </c>
      <c r="G159" s="348">
        <f t="shared" si="48"/>
        <v>1498.7</v>
      </c>
      <c r="H159" s="348">
        <f t="shared" si="48"/>
        <v>-429.95000000000005</v>
      </c>
      <c r="I159" s="347">
        <f t="shared" si="48"/>
        <v>0.7770720452129728</v>
      </c>
      <c r="J159" s="348">
        <f t="shared" si="48"/>
        <v>-6671.3</v>
      </c>
      <c r="K159" s="347">
        <f t="shared" si="48"/>
        <v>0.18343941248470014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3075.73</v>
      </c>
      <c r="S159" s="348">
        <f t="shared" si="48"/>
        <v>-1577.03</v>
      </c>
      <c r="T159" s="347">
        <f t="shared" si="48"/>
        <v>0.48726643756116433</v>
      </c>
      <c r="U159" s="348">
        <f t="shared" si="48"/>
        <v>680</v>
      </c>
      <c r="V159" s="348">
        <f t="shared" si="48"/>
        <v>426.54999999999995</v>
      </c>
      <c r="W159" s="348">
        <f t="shared" si="48"/>
        <v>-253.45000000000005</v>
      </c>
      <c r="X159" s="347">
        <f t="shared" si="48"/>
        <v>0.6272794117647058</v>
      </c>
      <c r="Y159" s="189">
        <f t="shared" si="42"/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0</v>
      </c>
      <c r="G160" s="348">
        <f t="shared" si="49"/>
        <v>0</v>
      </c>
      <c r="H160" s="348">
        <f t="shared" si="49"/>
        <v>0</v>
      </c>
      <c r="I160" s="347" t="e">
        <f t="shared" si="49"/>
        <v>#DIV/0!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32.89</v>
      </c>
      <c r="S160" s="348">
        <f t="shared" si="49"/>
        <v>-32.89</v>
      </c>
      <c r="T160" s="347">
        <f t="shared" si="49"/>
        <v>0</v>
      </c>
      <c r="U160" s="348">
        <f t="shared" si="49"/>
        <v>0</v>
      </c>
      <c r="V160" s="348">
        <f t="shared" si="49"/>
        <v>0</v>
      </c>
      <c r="W160" s="348">
        <f t="shared" si="49"/>
        <v>0</v>
      </c>
      <c r="X160" s="347" t="e">
        <f t="shared" si="49"/>
        <v>#DIV/0!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1928.65</v>
      </c>
      <c r="G161" s="351">
        <f t="shared" si="50"/>
        <v>1498.7</v>
      </c>
      <c r="H161" s="351">
        <f t="shared" si="50"/>
        <v>-429.95000000000005</v>
      </c>
      <c r="I161" s="189">
        <f>G161/F161</f>
        <v>0.7770720452129728</v>
      </c>
      <c r="J161" s="351">
        <f t="shared" si="50"/>
        <v>-6845.7</v>
      </c>
      <c r="K161" s="189">
        <f>G161/E161</f>
        <v>0.17960548391735776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3108.62</v>
      </c>
      <c r="S161" s="351">
        <f t="shared" si="50"/>
        <v>-1609.92</v>
      </c>
      <c r="T161" s="189">
        <f>G161/R161</f>
        <v>0.482111033191577</v>
      </c>
      <c r="U161" s="351">
        <f t="shared" si="50"/>
        <v>680</v>
      </c>
      <c r="V161" s="351">
        <f t="shared" si="50"/>
        <v>426.54999999999995</v>
      </c>
      <c r="W161" s="35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1" fitToWidth="1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468" t="s">
        <v>213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186"/>
    </row>
    <row r="2" spans="2:25" s="1" customFormat="1" ht="15.75" customHeight="1">
      <c r="B2" s="469"/>
      <c r="C2" s="469"/>
      <c r="D2" s="469"/>
      <c r="E2" s="469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0"/>
      <c r="B3" s="472"/>
      <c r="C3" s="473" t="s">
        <v>0</v>
      </c>
      <c r="D3" s="474" t="s">
        <v>131</v>
      </c>
      <c r="E3" s="474" t="s">
        <v>131</v>
      </c>
      <c r="F3" s="25"/>
      <c r="G3" s="475" t="s">
        <v>26</v>
      </c>
      <c r="H3" s="476"/>
      <c r="I3" s="476"/>
      <c r="J3" s="476"/>
      <c r="K3" s="47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8" t="s">
        <v>141</v>
      </c>
      <c r="V3" s="481" t="s">
        <v>136</v>
      </c>
      <c r="W3" s="481"/>
      <c r="X3" s="481"/>
      <c r="Y3" s="194"/>
    </row>
    <row r="4" spans="1:24" ht="22.5" customHeight="1">
      <c r="A4" s="470"/>
      <c r="B4" s="472"/>
      <c r="C4" s="473"/>
      <c r="D4" s="474"/>
      <c r="E4" s="474"/>
      <c r="F4" s="482" t="s">
        <v>139</v>
      </c>
      <c r="G4" s="484" t="s">
        <v>31</v>
      </c>
      <c r="H4" s="486" t="s">
        <v>129</v>
      </c>
      <c r="I4" s="479" t="s">
        <v>130</v>
      </c>
      <c r="J4" s="486" t="s">
        <v>132</v>
      </c>
      <c r="K4" s="47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79"/>
      <c r="V4" s="488" t="s">
        <v>214</v>
      </c>
      <c r="W4" s="486" t="s">
        <v>44</v>
      </c>
      <c r="X4" s="490" t="s">
        <v>43</v>
      </c>
    </row>
    <row r="5" spans="1:24" ht="67.5" customHeight="1">
      <c r="A5" s="471"/>
      <c r="B5" s="472"/>
      <c r="C5" s="473"/>
      <c r="D5" s="474"/>
      <c r="E5" s="474"/>
      <c r="F5" s="483"/>
      <c r="G5" s="485"/>
      <c r="H5" s="487"/>
      <c r="I5" s="480"/>
      <c r="J5" s="487"/>
      <c r="K5" s="480"/>
      <c r="L5" s="491" t="s">
        <v>135</v>
      </c>
      <c r="M5" s="492"/>
      <c r="N5" s="493"/>
      <c r="O5" s="494" t="s">
        <v>210</v>
      </c>
      <c r="P5" s="495"/>
      <c r="Q5" s="496"/>
      <c r="R5" s="497" t="s">
        <v>209</v>
      </c>
      <c r="S5" s="497"/>
      <c r="T5" s="497"/>
      <c r="U5" s="480"/>
      <c r="V5" s="489"/>
      <c r="W5" s="487"/>
      <c r="X5" s="49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2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f>G38+G40</f>
        <v>8120.02</v>
      </c>
      <c r="H36" s="158">
        <f t="shared" si="9"/>
        <v>-1106.2099999999991</v>
      </c>
      <c r="I36" s="212">
        <f t="shared" si="12"/>
        <v>0.8801016233065945</v>
      </c>
      <c r="J36" s="176">
        <f t="shared" si="1"/>
        <v>-52569.979999999996</v>
      </c>
      <c r="K36" s="191">
        <f t="shared" si="15"/>
        <v>0.13379502389190973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-739.1899999999987</v>
      </c>
      <c r="T36" s="162">
        <f t="shared" si="14"/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 t="shared" si="10"/>
        <v>-1106.2199999999993</v>
      </c>
      <c r="X36" s="191">
        <f aca="true" t="shared" si="19" ref="X36:X41">V36/U36*100</f>
        <v>78.5574723783679</v>
      </c>
      <c r="Y36" s="197">
        <f t="shared" si="16"/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499"/>
      <c r="H106" s="499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499"/>
      <c r="H107" s="499"/>
      <c r="I107" s="273"/>
      <c r="J107" s="276"/>
    </row>
    <row r="108" spans="3:10" ht="15" hidden="1">
      <c r="C108" s="271"/>
      <c r="D108" s="4"/>
      <c r="F108" s="278"/>
      <c r="G108" s="500"/>
      <c r="H108" s="500"/>
      <c r="I108" s="279"/>
      <c r="J108" s="274"/>
    </row>
    <row r="109" spans="2:10" ht="16.5" hidden="1">
      <c r="B109" s="501" t="s">
        <v>165</v>
      </c>
      <c r="C109" s="502"/>
      <c r="D109" s="280"/>
      <c r="E109" s="434">
        <v>144.8304</v>
      </c>
      <c r="F109" s="282" t="s">
        <v>166</v>
      </c>
      <c r="G109" s="499"/>
      <c r="H109" s="499"/>
      <c r="I109" s="283"/>
      <c r="J109" s="274"/>
    </row>
    <row r="110" spans="4:10" ht="15">
      <c r="D110" s="4"/>
      <c r="F110" s="278"/>
      <c r="G110" s="499"/>
      <c r="H110" s="499"/>
      <c r="I110" s="278"/>
      <c r="J110" s="281"/>
    </row>
    <row r="111" spans="2:10" ht="15" customHeight="1" hidden="1">
      <c r="B111" s="498"/>
      <c r="C111" s="498"/>
      <c r="D111" s="285"/>
      <c r="E111" s="286"/>
      <c r="F111" s="278"/>
      <c r="G111" s="499"/>
      <c r="H111" s="49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7" ref="E112:W112">E60+E63+E64</f>
        <v>2095</v>
      </c>
      <c r="F112" s="278">
        <f t="shared" si="37"/>
        <v>309</v>
      </c>
      <c r="G112" s="435">
        <f t="shared" si="37"/>
        <v>305.58</v>
      </c>
      <c r="H112" s="278">
        <f t="shared" si="37"/>
        <v>-3.4200000000000044</v>
      </c>
      <c r="I112" s="436">
        <f>G112/F112</f>
        <v>0.9889320388349514</v>
      </c>
      <c r="J112" s="278">
        <f t="shared" si="37"/>
        <v>-1789.4199999999998</v>
      </c>
      <c r="K112" s="436">
        <f>G112/E112</f>
        <v>0.14586157517899762</v>
      </c>
      <c r="L112" s="278">
        <f t="shared" si="37"/>
        <v>0</v>
      </c>
      <c r="M112" s="278">
        <f t="shared" si="37"/>
        <v>0</v>
      </c>
      <c r="N112" s="278">
        <f t="shared" si="37"/>
        <v>0</v>
      </c>
      <c r="O112" s="278">
        <f t="shared" si="37"/>
        <v>1956.6200000000001</v>
      </c>
      <c r="P112" s="278">
        <f t="shared" si="37"/>
        <v>138.37999999999994</v>
      </c>
      <c r="Q112" s="436">
        <f>E112/O112</f>
        <v>1.0707240036389283</v>
      </c>
      <c r="R112" s="278">
        <f t="shared" si="37"/>
        <v>282.83</v>
      </c>
      <c r="S112" s="278">
        <f t="shared" si="37"/>
        <v>22.75000000000001</v>
      </c>
      <c r="T112" s="436">
        <f>G112/R112</f>
        <v>1.0804370116324293</v>
      </c>
      <c r="U112" s="278">
        <f t="shared" si="37"/>
        <v>161.81</v>
      </c>
      <c r="V112" s="288">
        <f t="shared" si="37"/>
        <v>155.95999999999998</v>
      </c>
      <c r="W112" s="278">
        <f t="shared" si="37"/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9" ref="E124:J124">E123+E100</f>
        <v>70687.473</v>
      </c>
      <c r="F124" s="295">
        <f t="shared" si="39"/>
        <v>27904.959</v>
      </c>
      <c r="G124" s="295">
        <f t="shared" si="39"/>
        <v>5868.3499999999985</v>
      </c>
      <c r="H124" s="295">
        <f t="shared" si="39"/>
        <v>-22036.609</v>
      </c>
      <c r="I124" s="447">
        <f t="shared" si="38"/>
        <v>0.2102977467194988</v>
      </c>
      <c r="J124" s="295">
        <f t="shared" si="39"/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40" ref="E125:J125">E101+E123</f>
        <v>1698605.173</v>
      </c>
      <c r="F125" s="295">
        <f t="shared" si="40"/>
        <v>276708.61600000004</v>
      </c>
      <c r="G125" s="295">
        <f t="shared" si="40"/>
        <v>254710.79999999996</v>
      </c>
      <c r="H125" s="295">
        <f t="shared" si="40"/>
        <v>-21997.816000000083</v>
      </c>
      <c r="I125" s="447">
        <f t="shared" si="38"/>
        <v>0.9205018755180356</v>
      </c>
      <c r="J125" s="295">
        <f t="shared" si="40"/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8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8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1" ref="E130:J130">E125+E126+E129</f>
        <v>3198280.3729999997</v>
      </c>
      <c r="F130" s="314">
        <f t="shared" si="41"/>
        <v>598795.346</v>
      </c>
      <c r="G130" s="314">
        <f t="shared" si="41"/>
        <v>254710.79999999996</v>
      </c>
      <c r="H130" s="314">
        <f t="shared" si="41"/>
        <v>-344084.5460000001</v>
      </c>
      <c r="I130" s="449">
        <f t="shared" si="38"/>
        <v>0.4253720435562636</v>
      </c>
      <c r="J130" s="314">
        <f t="shared" si="41"/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2" ref="E138:X138">E17</f>
        <v>0</v>
      </c>
      <c r="F138" s="323">
        <f t="shared" si="42"/>
        <v>0</v>
      </c>
      <c r="G138" s="323">
        <f t="shared" si="42"/>
        <v>0</v>
      </c>
      <c r="H138" s="323">
        <f t="shared" si="42"/>
        <v>0</v>
      </c>
      <c r="I138" s="357">
        <f t="shared" si="42"/>
        <v>0</v>
      </c>
      <c r="J138" s="323">
        <f t="shared" si="42"/>
        <v>0</v>
      </c>
      <c r="K138" s="357">
        <f t="shared" si="42"/>
        <v>0</v>
      </c>
      <c r="L138" s="323">
        <f t="shared" si="42"/>
        <v>0</v>
      </c>
      <c r="M138" s="323">
        <f t="shared" si="42"/>
        <v>0</v>
      </c>
      <c r="N138" s="323">
        <f t="shared" si="42"/>
        <v>0</v>
      </c>
      <c r="O138" s="323">
        <f t="shared" si="42"/>
        <v>0.49</v>
      </c>
      <c r="P138" s="323">
        <f t="shared" si="42"/>
        <v>-0.49</v>
      </c>
      <c r="Q138" s="357">
        <f t="shared" si="42"/>
        <v>0</v>
      </c>
      <c r="R138" s="323">
        <f t="shared" si="42"/>
        <v>0</v>
      </c>
      <c r="S138" s="323">
        <f t="shared" si="42"/>
        <v>0</v>
      </c>
      <c r="T138" s="357" t="e">
        <f t="shared" si="42"/>
        <v>#DIV/0!</v>
      </c>
      <c r="U138" s="323">
        <f t="shared" si="42"/>
        <v>0</v>
      </c>
      <c r="V138" s="323">
        <f t="shared" si="42"/>
        <v>0</v>
      </c>
      <c r="W138" s="323">
        <f t="shared" si="42"/>
        <v>0</v>
      </c>
      <c r="X138" s="357">
        <f t="shared" si="42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aca="true" t="shared" si="43" ref="E139:X139">E18</f>
        <v>235.6</v>
      </c>
      <c r="F139" s="323">
        <f t="shared" si="43"/>
        <v>120</v>
      </c>
      <c r="G139" s="323">
        <f t="shared" si="43"/>
        <v>194.24</v>
      </c>
      <c r="H139" s="323">
        <f t="shared" si="43"/>
        <v>74.24000000000001</v>
      </c>
      <c r="I139" s="357">
        <f t="shared" si="43"/>
        <v>1.6186666666666667</v>
      </c>
      <c r="J139" s="323">
        <f t="shared" si="43"/>
        <v>-41.359999999999985</v>
      </c>
      <c r="K139" s="357">
        <f t="shared" si="43"/>
        <v>82.44482173174873</v>
      </c>
      <c r="L139" s="323">
        <f t="shared" si="43"/>
        <v>0</v>
      </c>
      <c r="M139" s="323">
        <f t="shared" si="43"/>
        <v>0</v>
      </c>
      <c r="N139" s="323">
        <f t="shared" si="43"/>
        <v>0</v>
      </c>
      <c r="O139" s="323">
        <f t="shared" si="43"/>
        <v>220.59</v>
      </c>
      <c r="P139" s="323">
        <f t="shared" si="43"/>
        <v>15.009999999999991</v>
      </c>
      <c r="Q139" s="357">
        <f t="shared" si="43"/>
        <v>1.0680447889750215</v>
      </c>
      <c r="R139" s="323">
        <f t="shared" si="43"/>
        <v>0</v>
      </c>
      <c r="S139" s="323">
        <f t="shared" si="43"/>
        <v>194.24</v>
      </c>
      <c r="T139" s="357" t="e">
        <f t="shared" si="43"/>
        <v>#DIV/0!</v>
      </c>
      <c r="U139" s="323">
        <f t="shared" si="43"/>
        <v>120</v>
      </c>
      <c r="V139" s="323">
        <f t="shared" si="43"/>
        <v>194.24</v>
      </c>
      <c r="W139" s="323">
        <f t="shared" si="43"/>
        <v>74.24000000000001</v>
      </c>
      <c r="X139" s="357">
        <f t="shared" si="43"/>
        <v>1.6186666666666667</v>
      </c>
      <c r="Y139" s="446" t="e">
        <f aca="true" t="shared" si="44" ref="Y139:Y161">T139-Q139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5" ref="E140:X140">E56</f>
        <v>158</v>
      </c>
      <c r="F140" s="333">
        <f t="shared" si="45"/>
        <v>14</v>
      </c>
      <c r="G140" s="333">
        <f t="shared" si="45"/>
        <v>13.23</v>
      </c>
      <c r="H140" s="333">
        <f t="shared" si="45"/>
        <v>-0.7699999999999996</v>
      </c>
      <c r="I140" s="442">
        <f t="shared" si="45"/>
        <v>0.9450000000000001</v>
      </c>
      <c r="J140" s="333">
        <f t="shared" si="45"/>
        <v>-144.77</v>
      </c>
      <c r="K140" s="442">
        <f t="shared" si="45"/>
        <v>0.08373417721518987</v>
      </c>
      <c r="L140" s="333">
        <f t="shared" si="45"/>
        <v>0</v>
      </c>
      <c r="M140" s="333">
        <f t="shared" si="45"/>
        <v>0</v>
      </c>
      <c r="N140" s="333">
        <f t="shared" si="45"/>
        <v>0</v>
      </c>
      <c r="O140" s="333">
        <f t="shared" si="45"/>
        <v>153.3</v>
      </c>
      <c r="P140" s="333">
        <f t="shared" si="45"/>
        <v>4.699999999999989</v>
      </c>
      <c r="Q140" s="442">
        <f t="shared" si="45"/>
        <v>1.030658838878017</v>
      </c>
      <c r="R140" s="333">
        <f t="shared" si="45"/>
        <v>57.08</v>
      </c>
      <c r="S140" s="333">
        <f t="shared" si="45"/>
        <v>-43.849999999999994</v>
      </c>
      <c r="T140" s="442">
        <f t="shared" si="45"/>
        <v>0.23177995795374914</v>
      </c>
      <c r="U140" s="333">
        <f t="shared" si="45"/>
        <v>14</v>
      </c>
      <c r="V140" s="333">
        <f t="shared" si="45"/>
        <v>13.23</v>
      </c>
      <c r="W140" s="333">
        <f t="shared" si="45"/>
        <v>-0.7699999999999996</v>
      </c>
      <c r="X140" s="357">
        <f t="shared" si="45"/>
        <v>0.9450000000000001</v>
      </c>
      <c r="Y140" s="446">
        <f t="shared" si="44"/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aca="true" t="shared" si="46" ref="E141:X141">E57</f>
        <v>13</v>
      </c>
      <c r="F141" s="338">
        <f t="shared" si="46"/>
        <v>3</v>
      </c>
      <c r="G141" s="338">
        <f t="shared" si="46"/>
        <v>2.02</v>
      </c>
      <c r="H141" s="338">
        <f t="shared" si="46"/>
        <v>-0.98</v>
      </c>
      <c r="I141" s="443">
        <f t="shared" si="46"/>
        <v>0.6733333333333333</v>
      </c>
      <c r="J141" s="338">
        <f t="shared" si="46"/>
        <v>-10.98</v>
      </c>
      <c r="K141" s="443">
        <f t="shared" si="46"/>
        <v>0.1553846153846154</v>
      </c>
      <c r="L141" s="338">
        <f t="shared" si="46"/>
        <v>0</v>
      </c>
      <c r="M141" s="338">
        <f t="shared" si="46"/>
        <v>0</v>
      </c>
      <c r="N141" s="338">
        <f t="shared" si="46"/>
        <v>0</v>
      </c>
      <c r="O141" s="338">
        <f t="shared" si="46"/>
        <v>12.95</v>
      </c>
      <c r="P141" s="338">
        <f t="shared" si="46"/>
        <v>0.05000000000000071</v>
      </c>
      <c r="Q141" s="443">
        <f t="shared" si="46"/>
        <v>1.0038610038610039</v>
      </c>
      <c r="R141" s="338">
        <f t="shared" si="46"/>
        <v>2.03</v>
      </c>
      <c r="S141" s="338">
        <f t="shared" si="46"/>
        <v>-0.009999999999999787</v>
      </c>
      <c r="T141" s="443">
        <f t="shared" si="46"/>
        <v>0</v>
      </c>
      <c r="U141" s="338">
        <f t="shared" si="46"/>
        <v>1</v>
      </c>
      <c r="V141" s="338">
        <f t="shared" si="46"/>
        <v>0</v>
      </c>
      <c r="W141" s="338">
        <f t="shared" si="46"/>
        <v>-1</v>
      </c>
      <c r="X141" s="445">
        <f t="shared" si="46"/>
        <v>0</v>
      </c>
      <c r="Y141" s="446">
        <f t="shared" si="44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aca="true" t="shared" si="47" ref="E142:X142">E58</f>
        <v>744</v>
      </c>
      <c r="F142" s="323">
        <f t="shared" si="47"/>
        <v>88.43</v>
      </c>
      <c r="G142" s="323">
        <f t="shared" si="47"/>
        <v>52.18</v>
      </c>
      <c r="H142" s="323">
        <f t="shared" si="47"/>
        <v>-36.25000000000001</v>
      </c>
      <c r="I142" s="357">
        <f t="shared" si="47"/>
        <v>0.5900712427909081</v>
      </c>
      <c r="J142" s="323">
        <f t="shared" si="47"/>
        <v>-691.82</v>
      </c>
      <c r="K142" s="357">
        <f t="shared" si="47"/>
        <v>0.07013440860215053</v>
      </c>
      <c r="L142" s="323">
        <f t="shared" si="47"/>
        <v>0</v>
      </c>
      <c r="M142" s="323">
        <f t="shared" si="47"/>
        <v>0</v>
      </c>
      <c r="N142" s="323">
        <f t="shared" si="47"/>
        <v>0</v>
      </c>
      <c r="O142" s="323">
        <f t="shared" si="47"/>
        <v>705.31</v>
      </c>
      <c r="P142" s="323">
        <f t="shared" si="47"/>
        <v>38.690000000000055</v>
      </c>
      <c r="Q142" s="357">
        <f t="shared" si="47"/>
        <v>1.0548553118486907</v>
      </c>
      <c r="R142" s="323">
        <f t="shared" si="47"/>
        <v>82.08</v>
      </c>
      <c r="S142" s="323">
        <f t="shared" si="47"/>
        <v>-29.9</v>
      </c>
      <c r="T142" s="357">
        <f t="shared" si="47"/>
        <v>0.6357212475633528</v>
      </c>
      <c r="U142" s="323">
        <f t="shared" si="47"/>
        <v>60.00000000000001</v>
      </c>
      <c r="V142" s="323">
        <f t="shared" si="47"/>
        <v>23.75</v>
      </c>
      <c r="W142" s="323">
        <f t="shared" si="47"/>
        <v>-36.25000000000001</v>
      </c>
      <c r="X142" s="357">
        <f t="shared" si="47"/>
        <v>0.39583333333333326</v>
      </c>
      <c r="Y142" s="446">
        <f t="shared" si="44"/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aca="true" t="shared" si="48" ref="E143:X143">E59</f>
        <v>115.5</v>
      </c>
      <c r="F143" s="323">
        <f t="shared" si="48"/>
        <v>10</v>
      </c>
      <c r="G143" s="323">
        <f t="shared" si="48"/>
        <v>-11.58</v>
      </c>
      <c r="H143" s="323">
        <f t="shared" si="48"/>
        <v>-21.58</v>
      </c>
      <c r="I143" s="357">
        <f t="shared" si="48"/>
        <v>-1.158</v>
      </c>
      <c r="J143" s="323">
        <f t="shared" si="48"/>
        <v>-127.08</v>
      </c>
      <c r="K143" s="357">
        <f t="shared" si="48"/>
        <v>-0.10025974025974026</v>
      </c>
      <c r="L143" s="323">
        <f t="shared" si="48"/>
        <v>0</v>
      </c>
      <c r="M143" s="323">
        <f t="shared" si="48"/>
        <v>0</v>
      </c>
      <c r="N143" s="323">
        <f t="shared" si="48"/>
        <v>0</v>
      </c>
      <c r="O143" s="323">
        <f t="shared" si="48"/>
        <v>114.3</v>
      </c>
      <c r="P143" s="323">
        <f t="shared" si="48"/>
        <v>1.2000000000000028</v>
      </c>
      <c r="Q143" s="357">
        <f t="shared" si="48"/>
        <v>1.010498687664042</v>
      </c>
      <c r="R143" s="323">
        <f t="shared" si="48"/>
        <v>0</v>
      </c>
      <c r="S143" s="323">
        <f t="shared" si="48"/>
        <v>-11.58</v>
      </c>
      <c r="T143" s="357" t="e">
        <f t="shared" si="48"/>
        <v>#DIV/0!</v>
      </c>
      <c r="U143" s="323">
        <f t="shared" si="48"/>
        <v>10</v>
      </c>
      <c r="V143" s="323">
        <f t="shared" si="48"/>
        <v>-5.03</v>
      </c>
      <c r="W143" s="323">
        <f t="shared" si="48"/>
        <v>-15.030000000000001</v>
      </c>
      <c r="X143" s="357">
        <f t="shared" si="48"/>
        <v>-0.503</v>
      </c>
      <c r="Y143" s="446" t="e">
        <f t="shared" si="44"/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9" ref="E144:X144">E71</f>
        <v>3</v>
      </c>
      <c r="F144" s="323">
        <f t="shared" si="49"/>
        <v>1.5</v>
      </c>
      <c r="G144" s="323">
        <f t="shared" si="49"/>
        <v>0</v>
      </c>
      <c r="H144" s="323">
        <f t="shared" si="49"/>
        <v>-1.5</v>
      </c>
      <c r="I144" s="357">
        <f t="shared" si="49"/>
        <v>0</v>
      </c>
      <c r="J144" s="323">
        <f t="shared" si="49"/>
        <v>-3</v>
      </c>
      <c r="K144" s="357">
        <f t="shared" si="49"/>
        <v>0</v>
      </c>
      <c r="L144" s="323">
        <f t="shared" si="49"/>
        <v>0</v>
      </c>
      <c r="M144" s="323">
        <f t="shared" si="49"/>
        <v>0</v>
      </c>
      <c r="N144" s="323">
        <f t="shared" si="49"/>
        <v>0</v>
      </c>
      <c r="O144" s="323">
        <f t="shared" si="49"/>
        <v>2.04</v>
      </c>
      <c r="P144" s="323">
        <f t="shared" si="49"/>
        <v>0.96</v>
      </c>
      <c r="Q144" s="357">
        <f t="shared" si="49"/>
        <v>1.4705882352941175</v>
      </c>
      <c r="R144" s="323">
        <f t="shared" si="49"/>
        <v>1.67</v>
      </c>
      <c r="S144" s="323">
        <f t="shared" si="49"/>
        <v>-1.67</v>
      </c>
      <c r="T144" s="357">
        <f t="shared" si="49"/>
        <v>0</v>
      </c>
      <c r="U144" s="323">
        <f t="shared" si="49"/>
        <v>1.5</v>
      </c>
      <c r="V144" s="323">
        <f t="shared" si="49"/>
        <v>0</v>
      </c>
      <c r="W144" s="323">
        <f t="shared" si="49"/>
        <v>-1.5</v>
      </c>
      <c r="X144" s="357">
        <f t="shared" si="49"/>
        <v>0</v>
      </c>
      <c r="Y144" s="446">
        <f t="shared" si="44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50" ref="E145:X145">E77</f>
        <v>35</v>
      </c>
      <c r="F145" s="345">
        <f t="shared" si="50"/>
        <v>6.67</v>
      </c>
      <c r="G145" s="345">
        <f t="shared" si="50"/>
        <v>4.74</v>
      </c>
      <c r="H145" s="345">
        <f t="shared" si="50"/>
        <v>-1.9299999999999997</v>
      </c>
      <c r="I145" s="444">
        <f t="shared" si="50"/>
        <v>0.7106446776611695</v>
      </c>
      <c r="J145" s="345">
        <f t="shared" si="50"/>
        <v>-30.259999999999998</v>
      </c>
      <c r="K145" s="444">
        <f t="shared" si="50"/>
        <v>0.13542857142857143</v>
      </c>
      <c r="L145" s="345">
        <f t="shared" si="50"/>
        <v>0</v>
      </c>
      <c r="M145" s="345">
        <f t="shared" si="50"/>
        <v>0</v>
      </c>
      <c r="N145" s="345">
        <f t="shared" si="50"/>
        <v>0</v>
      </c>
      <c r="O145" s="345">
        <f t="shared" si="50"/>
        <v>34.22</v>
      </c>
      <c r="P145" s="345">
        <f t="shared" si="50"/>
        <v>0.7800000000000011</v>
      </c>
      <c r="Q145" s="444">
        <f t="shared" si="50"/>
        <v>1.0227936879018118</v>
      </c>
      <c r="R145" s="345">
        <f t="shared" si="50"/>
        <v>8.6</v>
      </c>
      <c r="S145" s="345">
        <f t="shared" si="50"/>
        <v>-3.8599999999999994</v>
      </c>
      <c r="T145" s="444">
        <f t="shared" si="50"/>
        <v>0.5511627906976745</v>
      </c>
      <c r="U145" s="345">
        <f t="shared" si="50"/>
        <v>2.9</v>
      </c>
      <c r="V145" s="345">
        <f t="shared" si="50"/>
        <v>0.9700000000000002</v>
      </c>
      <c r="W145" s="345">
        <f t="shared" si="50"/>
        <v>-1.9299999999999997</v>
      </c>
      <c r="X145" s="444">
        <f t="shared" si="50"/>
        <v>0.3344827586206897</v>
      </c>
      <c r="Y145" s="446">
        <f t="shared" si="44"/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aca="true" t="shared" si="51" ref="E146:X146">E78</f>
        <v>0</v>
      </c>
      <c r="F146" s="345">
        <f t="shared" si="51"/>
        <v>0</v>
      </c>
      <c r="G146" s="345">
        <f t="shared" si="51"/>
        <v>0.11</v>
      </c>
      <c r="H146" s="345">
        <f t="shared" si="51"/>
        <v>0.11</v>
      </c>
      <c r="I146" s="444" t="e">
        <f t="shared" si="51"/>
        <v>#DIV/0!</v>
      </c>
      <c r="J146" s="345">
        <f t="shared" si="51"/>
        <v>0.11</v>
      </c>
      <c r="K146" s="444">
        <f t="shared" si="51"/>
        <v>0</v>
      </c>
      <c r="L146" s="345">
        <f t="shared" si="51"/>
        <v>0</v>
      </c>
      <c r="M146" s="345">
        <f t="shared" si="51"/>
        <v>0</v>
      </c>
      <c r="N146" s="345">
        <f t="shared" si="51"/>
        <v>0</v>
      </c>
      <c r="O146" s="345">
        <f t="shared" si="51"/>
        <v>-4.86</v>
      </c>
      <c r="P146" s="345">
        <f t="shared" si="51"/>
        <v>4.86</v>
      </c>
      <c r="Q146" s="444">
        <f t="shared" si="51"/>
        <v>0</v>
      </c>
      <c r="R146" s="345">
        <f t="shared" si="51"/>
        <v>-5.33</v>
      </c>
      <c r="S146" s="345">
        <f t="shared" si="51"/>
        <v>5.44</v>
      </c>
      <c r="T146" s="444">
        <f t="shared" si="51"/>
        <v>-0.020637898686679174</v>
      </c>
      <c r="U146" s="345">
        <f t="shared" si="51"/>
        <v>0</v>
      </c>
      <c r="V146" s="345">
        <f t="shared" si="51"/>
        <v>0.11</v>
      </c>
      <c r="W146" s="345">
        <f t="shared" si="51"/>
        <v>0.11</v>
      </c>
      <c r="X146" s="444">
        <f t="shared" si="51"/>
        <v>0</v>
      </c>
      <c r="Y146" s="446">
        <f t="shared" si="44"/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52" ref="E150:X150">E60</f>
        <v>1284</v>
      </c>
      <c r="F150" s="323">
        <f t="shared" si="52"/>
        <v>184</v>
      </c>
      <c r="G150" s="323">
        <f t="shared" si="52"/>
        <v>177.19</v>
      </c>
      <c r="H150" s="323">
        <f t="shared" si="52"/>
        <v>-6.810000000000002</v>
      </c>
      <c r="I150" s="357">
        <f t="shared" si="52"/>
        <v>0.9629891304347826</v>
      </c>
      <c r="J150" s="323">
        <f t="shared" si="52"/>
        <v>-1106.81</v>
      </c>
      <c r="K150" s="357">
        <f t="shared" si="52"/>
        <v>0.13799844236760125</v>
      </c>
      <c r="L150" s="323">
        <f t="shared" si="52"/>
        <v>0</v>
      </c>
      <c r="M150" s="323">
        <f t="shared" si="52"/>
        <v>0</v>
      </c>
      <c r="N150" s="323">
        <f t="shared" si="52"/>
        <v>0</v>
      </c>
      <c r="O150" s="323">
        <f t="shared" si="52"/>
        <v>1205.14</v>
      </c>
      <c r="P150" s="323">
        <f t="shared" si="52"/>
        <v>78.8599999999999</v>
      </c>
      <c r="Q150" s="357">
        <f t="shared" si="52"/>
        <v>1.0654363808354215</v>
      </c>
      <c r="R150" s="323">
        <f t="shared" si="52"/>
        <v>192.39</v>
      </c>
      <c r="S150" s="323">
        <f t="shared" si="52"/>
        <v>-15.199999999999989</v>
      </c>
      <c r="T150" s="357">
        <f t="shared" si="52"/>
        <v>0.920993814647331</v>
      </c>
      <c r="U150" s="323">
        <f t="shared" si="52"/>
        <v>94.81</v>
      </c>
      <c r="V150" s="323">
        <f t="shared" si="52"/>
        <v>88</v>
      </c>
      <c r="W150" s="323">
        <f t="shared" si="52"/>
        <v>-6.810000000000002</v>
      </c>
      <c r="X150" s="357">
        <f t="shared" si="52"/>
        <v>0.9281721337411665</v>
      </c>
      <c r="Y150" s="446">
        <f t="shared" si="44"/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aca="true" t="shared" si="53" ref="E151:X151">E61</f>
        <v>0</v>
      </c>
      <c r="F151" s="323">
        <f t="shared" si="53"/>
        <v>0</v>
      </c>
      <c r="G151" s="323">
        <f t="shared" si="53"/>
        <v>0</v>
      </c>
      <c r="H151" s="323">
        <f t="shared" si="53"/>
        <v>0</v>
      </c>
      <c r="I151" s="357" t="e">
        <f t="shared" si="53"/>
        <v>#DIV/0!</v>
      </c>
      <c r="J151" s="323">
        <f t="shared" si="53"/>
        <v>0</v>
      </c>
      <c r="K151" s="357" t="e">
        <f t="shared" si="53"/>
        <v>#DIV/0!</v>
      </c>
      <c r="L151" s="323">
        <f t="shared" si="53"/>
        <v>0</v>
      </c>
      <c r="M151" s="323">
        <f t="shared" si="53"/>
        <v>0</v>
      </c>
      <c r="N151" s="323">
        <f t="shared" si="53"/>
        <v>0</v>
      </c>
      <c r="O151" s="323">
        <f t="shared" si="53"/>
        <v>23.38</v>
      </c>
      <c r="P151" s="323">
        <f t="shared" si="53"/>
        <v>-23.38</v>
      </c>
      <c r="Q151" s="357">
        <f t="shared" si="53"/>
        <v>0</v>
      </c>
      <c r="R151" s="323">
        <f t="shared" si="53"/>
        <v>0</v>
      </c>
      <c r="S151" s="323">
        <f t="shared" si="53"/>
        <v>0</v>
      </c>
      <c r="T151" s="357">
        <f t="shared" si="53"/>
        <v>0</v>
      </c>
      <c r="U151" s="323">
        <f t="shared" si="53"/>
        <v>0</v>
      </c>
      <c r="V151" s="323">
        <f t="shared" si="53"/>
        <v>0</v>
      </c>
      <c r="W151" s="323">
        <f t="shared" si="53"/>
        <v>0</v>
      </c>
      <c r="X151" s="357" t="e">
        <f t="shared" si="53"/>
        <v>#DIV/0!</v>
      </c>
      <c r="Y151" s="446">
        <f t="shared" si="44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aca="true" t="shared" si="54" ref="E152:X152">E62</f>
        <v>21260</v>
      </c>
      <c r="F152" s="360">
        <f t="shared" si="54"/>
        <v>3890</v>
      </c>
      <c r="G152" s="360">
        <f t="shared" si="54"/>
        <v>3955.42</v>
      </c>
      <c r="H152" s="360">
        <f t="shared" si="54"/>
        <v>65.42000000000007</v>
      </c>
      <c r="I152" s="362">
        <f t="shared" si="54"/>
        <v>1.0168174807197943</v>
      </c>
      <c r="J152" s="360">
        <f t="shared" si="54"/>
        <v>-17304.58</v>
      </c>
      <c r="K152" s="362">
        <f t="shared" si="54"/>
        <v>0.18604985888993414</v>
      </c>
      <c r="L152" s="360">
        <f t="shared" si="54"/>
        <v>0</v>
      </c>
      <c r="M152" s="360">
        <f t="shared" si="54"/>
        <v>0</v>
      </c>
      <c r="N152" s="360">
        <f t="shared" si="54"/>
        <v>0</v>
      </c>
      <c r="O152" s="360">
        <f t="shared" si="54"/>
        <v>20110.14</v>
      </c>
      <c r="P152" s="360">
        <f t="shared" si="54"/>
        <v>1149.8600000000006</v>
      </c>
      <c r="Q152" s="362">
        <f t="shared" si="54"/>
        <v>1.0571781200926498</v>
      </c>
      <c r="R152" s="360">
        <f t="shared" si="54"/>
        <v>2143.72</v>
      </c>
      <c r="S152" s="360">
        <f t="shared" si="54"/>
        <v>1811.7000000000003</v>
      </c>
      <c r="T152" s="362">
        <f t="shared" si="54"/>
        <v>1.8451196984680838</v>
      </c>
      <c r="U152" s="360">
        <f t="shared" si="54"/>
        <v>2000</v>
      </c>
      <c r="V152" s="360">
        <f t="shared" si="54"/>
        <v>2061.32</v>
      </c>
      <c r="W152" s="360">
        <f t="shared" si="54"/>
        <v>61.320000000000164</v>
      </c>
      <c r="X152" s="362">
        <f t="shared" si="54"/>
        <v>1.0306600000000001</v>
      </c>
      <c r="Y152" s="446">
        <f t="shared" si="44"/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aca="true" t="shared" si="55" ref="E153:X153">E63</f>
        <v>767</v>
      </c>
      <c r="F153" s="360">
        <f t="shared" si="55"/>
        <v>121</v>
      </c>
      <c r="G153" s="360">
        <f t="shared" si="55"/>
        <v>121.69</v>
      </c>
      <c r="H153" s="360">
        <f t="shared" si="55"/>
        <v>0.6899999999999977</v>
      </c>
      <c r="I153" s="362">
        <f t="shared" si="55"/>
        <v>1.005702479338843</v>
      </c>
      <c r="J153" s="360">
        <f t="shared" si="55"/>
        <v>-645.31</v>
      </c>
      <c r="K153" s="362">
        <f t="shared" si="55"/>
        <v>0.15865710560625815</v>
      </c>
      <c r="L153" s="360">
        <f t="shared" si="55"/>
        <v>0</v>
      </c>
      <c r="M153" s="360">
        <f t="shared" si="55"/>
        <v>0</v>
      </c>
      <c r="N153" s="360">
        <f t="shared" si="55"/>
        <v>0</v>
      </c>
      <c r="O153" s="360">
        <f t="shared" si="55"/>
        <v>710.04</v>
      </c>
      <c r="P153" s="360">
        <f t="shared" si="55"/>
        <v>56.960000000000036</v>
      </c>
      <c r="Q153" s="362">
        <f t="shared" si="55"/>
        <v>1.0802208326291478</v>
      </c>
      <c r="R153" s="360">
        <f t="shared" si="55"/>
        <v>90.44</v>
      </c>
      <c r="S153" s="360">
        <f t="shared" si="55"/>
        <v>31.25</v>
      </c>
      <c r="T153" s="362">
        <f t="shared" si="55"/>
        <v>1.345532950022114</v>
      </c>
      <c r="U153" s="360">
        <f t="shared" si="55"/>
        <v>64</v>
      </c>
      <c r="V153" s="360">
        <f t="shared" si="55"/>
        <v>62.32</v>
      </c>
      <c r="W153" s="360">
        <f t="shared" si="55"/>
        <v>-1.6799999999999997</v>
      </c>
      <c r="X153" s="362">
        <f t="shared" si="55"/>
        <v>0.97375</v>
      </c>
      <c r="Y153" s="446">
        <f t="shared" si="44"/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aca="true" t="shared" si="56" ref="E154:X154">E64</f>
        <v>44</v>
      </c>
      <c r="F154" s="360">
        <f t="shared" si="56"/>
        <v>4</v>
      </c>
      <c r="G154" s="360">
        <f t="shared" si="56"/>
        <v>6.7</v>
      </c>
      <c r="H154" s="360">
        <f t="shared" si="56"/>
        <v>2.7</v>
      </c>
      <c r="I154" s="362">
        <f t="shared" si="56"/>
        <v>1.675</v>
      </c>
      <c r="J154" s="360">
        <f t="shared" si="56"/>
        <v>-37.3</v>
      </c>
      <c r="K154" s="362">
        <f t="shared" si="56"/>
        <v>0.15227272727272728</v>
      </c>
      <c r="L154" s="360">
        <f t="shared" si="56"/>
        <v>0</v>
      </c>
      <c r="M154" s="360">
        <f t="shared" si="56"/>
        <v>0</v>
      </c>
      <c r="N154" s="360">
        <f t="shared" si="56"/>
        <v>0</v>
      </c>
      <c r="O154" s="360">
        <f t="shared" si="56"/>
        <v>41.44</v>
      </c>
      <c r="P154" s="360">
        <f t="shared" si="56"/>
        <v>2.5600000000000023</v>
      </c>
      <c r="Q154" s="362">
        <f t="shared" si="56"/>
        <v>1.0617760617760619</v>
      </c>
      <c r="R154" s="360">
        <f t="shared" si="56"/>
        <v>0</v>
      </c>
      <c r="S154" s="360">
        <f t="shared" si="56"/>
        <v>6.7</v>
      </c>
      <c r="T154" s="362" t="e">
        <f t="shared" si="56"/>
        <v>#DIV/0!</v>
      </c>
      <c r="U154" s="360">
        <f t="shared" si="56"/>
        <v>3</v>
      </c>
      <c r="V154" s="360">
        <f t="shared" si="56"/>
        <v>5.640000000000001</v>
      </c>
      <c r="W154" s="360">
        <f t="shared" si="56"/>
        <v>2.6400000000000006</v>
      </c>
      <c r="X154" s="362">
        <f t="shared" si="56"/>
        <v>1.8800000000000001</v>
      </c>
      <c r="Y154" s="446" t="e">
        <f t="shared" si="44"/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57" ref="E155:W155">SUM(E150:E154)</f>
        <v>23355</v>
      </c>
      <c r="F155" s="351">
        <f t="shared" si="57"/>
        <v>4199</v>
      </c>
      <c r="G155" s="351">
        <f t="shared" si="57"/>
        <v>4260.999999999999</v>
      </c>
      <c r="H155" s="351">
        <f t="shared" si="57"/>
        <v>62.00000000000007</v>
      </c>
      <c r="I155" s="189">
        <f>G155/F155</f>
        <v>1.0147654203381755</v>
      </c>
      <c r="J155" s="351">
        <f t="shared" si="57"/>
        <v>-19094.000000000004</v>
      </c>
      <c r="K155" s="189">
        <f>G155/E155</f>
        <v>0.182444872618283</v>
      </c>
      <c r="L155" s="351">
        <f t="shared" si="57"/>
        <v>0</v>
      </c>
      <c r="M155" s="351">
        <f t="shared" si="57"/>
        <v>0</v>
      </c>
      <c r="N155" s="351">
        <f t="shared" si="57"/>
        <v>0</v>
      </c>
      <c r="O155" s="351">
        <f t="shared" si="57"/>
        <v>22090.14</v>
      </c>
      <c r="P155" s="351">
        <f t="shared" si="57"/>
        <v>1264.8600000000006</v>
      </c>
      <c r="Q155" s="189">
        <f>E155/O155</f>
        <v>1.0572590304995804</v>
      </c>
      <c r="R155" s="351">
        <f t="shared" si="57"/>
        <v>2426.5499999999997</v>
      </c>
      <c r="S155" s="351">
        <f t="shared" si="57"/>
        <v>1834.4500000000003</v>
      </c>
      <c r="T155" s="189">
        <f>G155/R155</f>
        <v>1.7559910160515957</v>
      </c>
      <c r="U155" s="351">
        <f t="shared" si="57"/>
        <v>2161.81</v>
      </c>
      <c r="V155" s="351">
        <f t="shared" si="57"/>
        <v>2217.28</v>
      </c>
      <c r="W155" s="35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58" ref="E159:X159">E72</f>
        <v>8170</v>
      </c>
      <c r="F159" s="348">
        <f t="shared" si="58"/>
        <v>1248.65</v>
      </c>
      <c r="G159" s="348">
        <f t="shared" si="58"/>
        <v>1072.15</v>
      </c>
      <c r="H159" s="348">
        <f t="shared" si="58"/>
        <v>-176.5</v>
      </c>
      <c r="I159" s="347">
        <f t="shared" si="58"/>
        <v>0.8586473391262563</v>
      </c>
      <c r="J159" s="348">
        <f t="shared" si="58"/>
        <v>-7097.85</v>
      </c>
      <c r="K159" s="347">
        <f t="shared" si="58"/>
        <v>0.13123011015911873</v>
      </c>
      <c r="L159" s="348">
        <f t="shared" si="58"/>
        <v>0</v>
      </c>
      <c r="M159" s="348">
        <f t="shared" si="58"/>
        <v>0</v>
      </c>
      <c r="N159" s="348">
        <f t="shared" si="58"/>
        <v>0</v>
      </c>
      <c r="O159" s="348">
        <f t="shared" si="58"/>
        <v>8086.92</v>
      </c>
      <c r="P159" s="348">
        <f t="shared" si="58"/>
        <v>83.07999999999993</v>
      </c>
      <c r="Q159" s="347">
        <f t="shared" si="58"/>
        <v>1.0102733797292418</v>
      </c>
      <c r="R159" s="348">
        <f t="shared" si="58"/>
        <v>2711.43</v>
      </c>
      <c r="S159" s="348">
        <f t="shared" si="58"/>
        <v>-1639.2799999999997</v>
      </c>
      <c r="T159" s="347">
        <f t="shared" si="58"/>
        <v>0.3954186536255777</v>
      </c>
      <c r="U159" s="348">
        <f t="shared" si="58"/>
        <v>680.0000000000001</v>
      </c>
      <c r="V159" s="348">
        <f t="shared" si="58"/>
        <v>503.5000000000001</v>
      </c>
      <c r="W159" s="348">
        <f t="shared" si="58"/>
        <v>-176.5</v>
      </c>
      <c r="X159" s="347">
        <f t="shared" si="58"/>
        <v>0.7404411764705883</v>
      </c>
      <c r="Y159" s="189">
        <f t="shared" si="44"/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59" ref="E160:X160">E76</f>
        <v>174.4</v>
      </c>
      <c r="F160" s="348">
        <f t="shared" si="59"/>
        <v>0</v>
      </c>
      <c r="G160" s="348">
        <f t="shared" si="59"/>
        <v>0</v>
      </c>
      <c r="H160" s="348">
        <f t="shared" si="59"/>
        <v>0</v>
      </c>
      <c r="I160" s="347" t="e">
        <f t="shared" si="59"/>
        <v>#DIV/0!</v>
      </c>
      <c r="J160" s="348">
        <f t="shared" si="59"/>
        <v>-174.4</v>
      </c>
      <c r="K160" s="347">
        <f t="shared" si="59"/>
        <v>0</v>
      </c>
      <c r="L160" s="348">
        <f t="shared" si="59"/>
        <v>0</v>
      </c>
      <c r="M160" s="348">
        <f t="shared" si="59"/>
        <v>0</v>
      </c>
      <c r="N160" s="348">
        <f t="shared" si="59"/>
        <v>0</v>
      </c>
      <c r="O160" s="348">
        <f t="shared" si="59"/>
        <v>142.18</v>
      </c>
      <c r="P160" s="348">
        <f t="shared" si="59"/>
        <v>32.22</v>
      </c>
      <c r="Q160" s="347">
        <f t="shared" si="59"/>
        <v>1.2266141510761006</v>
      </c>
      <c r="R160" s="348">
        <f t="shared" si="59"/>
        <v>32.89</v>
      </c>
      <c r="S160" s="348">
        <f t="shared" si="59"/>
        <v>-32.89</v>
      </c>
      <c r="T160" s="347">
        <f t="shared" si="59"/>
        <v>0</v>
      </c>
      <c r="U160" s="348">
        <f t="shared" si="59"/>
        <v>0</v>
      </c>
      <c r="V160" s="348">
        <f t="shared" si="59"/>
        <v>0</v>
      </c>
      <c r="W160" s="348">
        <f t="shared" si="59"/>
        <v>0</v>
      </c>
      <c r="X160" s="347" t="e">
        <f t="shared" si="59"/>
        <v>#DIV/0!</v>
      </c>
      <c r="Y160" s="189">
        <f t="shared" si="44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60" ref="E161:W161">SUM(E159:E160)</f>
        <v>8344.4</v>
      </c>
      <c r="F161" s="351">
        <f t="shared" si="60"/>
        <v>1248.65</v>
      </c>
      <c r="G161" s="351">
        <f t="shared" si="60"/>
        <v>1072.15</v>
      </c>
      <c r="H161" s="351">
        <f t="shared" si="60"/>
        <v>-176.5</v>
      </c>
      <c r="I161" s="189">
        <f>G161/F161</f>
        <v>0.8586473391262563</v>
      </c>
      <c r="J161" s="351">
        <f t="shared" si="60"/>
        <v>-7272.25</v>
      </c>
      <c r="K161" s="189">
        <f>G161/E161</f>
        <v>0.12848736877426778</v>
      </c>
      <c r="L161" s="351">
        <f t="shared" si="60"/>
        <v>0</v>
      </c>
      <c r="M161" s="351">
        <f t="shared" si="60"/>
        <v>0</v>
      </c>
      <c r="N161" s="351">
        <f t="shared" si="60"/>
        <v>0</v>
      </c>
      <c r="O161" s="351">
        <f t="shared" si="60"/>
        <v>8229.1</v>
      </c>
      <c r="P161" s="351">
        <f t="shared" si="60"/>
        <v>115.29999999999993</v>
      </c>
      <c r="Q161" s="189">
        <f>E161/O161</f>
        <v>1.0140112527493892</v>
      </c>
      <c r="R161" s="351">
        <f t="shared" si="60"/>
        <v>2744.3199999999997</v>
      </c>
      <c r="S161" s="351">
        <f t="shared" si="60"/>
        <v>-1672.1699999999998</v>
      </c>
      <c r="T161" s="189">
        <f>G161/R161</f>
        <v>0.3906796583488807</v>
      </c>
      <c r="U161" s="351">
        <f t="shared" si="60"/>
        <v>680.0000000000001</v>
      </c>
      <c r="V161" s="351">
        <f t="shared" si="60"/>
        <v>503.5000000000001</v>
      </c>
      <c r="W161" s="35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468" t="s">
        <v>128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186"/>
    </row>
    <row r="2" spans="2:25" s="1" customFormat="1" ht="15.75" customHeight="1">
      <c r="B2" s="469"/>
      <c r="C2" s="469"/>
      <c r="D2" s="469"/>
      <c r="E2" s="469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0"/>
      <c r="B3" s="472"/>
      <c r="C3" s="473" t="s">
        <v>0</v>
      </c>
      <c r="D3" s="503" t="s">
        <v>131</v>
      </c>
      <c r="E3" s="474" t="s">
        <v>131</v>
      </c>
      <c r="F3" s="25"/>
      <c r="G3" s="475" t="s">
        <v>26</v>
      </c>
      <c r="H3" s="476"/>
      <c r="I3" s="476"/>
      <c r="J3" s="476"/>
      <c r="K3" s="47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8" t="s">
        <v>140</v>
      </c>
      <c r="V3" s="481" t="s">
        <v>124</v>
      </c>
      <c r="W3" s="481"/>
      <c r="X3" s="481"/>
      <c r="Y3" s="194"/>
    </row>
    <row r="4" spans="1:24" ht="22.5" customHeight="1">
      <c r="A4" s="470"/>
      <c r="B4" s="472"/>
      <c r="C4" s="473"/>
      <c r="D4" s="504"/>
      <c r="E4" s="474"/>
      <c r="F4" s="482" t="s">
        <v>138</v>
      </c>
      <c r="G4" s="484" t="s">
        <v>31</v>
      </c>
      <c r="H4" s="486" t="s">
        <v>122</v>
      </c>
      <c r="I4" s="479" t="s">
        <v>123</v>
      </c>
      <c r="J4" s="486" t="s">
        <v>132</v>
      </c>
      <c r="K4" s="47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79"/>
      <c r="V4" s="488" t="s">
        <v>137</v>
      </c>
      <c r="W4" s="486" t="s">
        <v>44</v>
      </c>
      <c r="X4" s="490" t="s">
        <v>43</v>
      </c>
    </row>
    <row r="5" spans="1:24" ht="67.5" customHeight="1">
      <c r="A5" s="471"/>
      <c r="B5" s="472"/>
      <c r="C5" s="473"/>
      <c r="D5" s="505"/>
      <c r="E5" s="474"/>
      <c r="F5" s="483"/>
      <c r="G5" s="485"/>
      <c r="H5" s="487"/>
      <c r="I5" s="480"/>
      <c r="J5" s="487"/>
      <c r="K5" s="480"/>
      <c r="L5" s="491" t="s">
        <v>109</v>
      </c>
      <c r="M5" s="492"/>
      <c r="N5" s="493"/>
      <c r="O5" s="506" t="s">
        <v>125</v>
      </c>
      <c r="P5" s="507"/>
      <c r="Q5" s="508"/>
      <c r="R5" s="497" t="s">
        <v>127</v>
      </c>
      <c r="S5" s="497"/>
      <c r="T5" s="497"/>
      <c r="U5" s="480"/>
      <c r="V5" s="489"/>
      <c r="W5" s="487"/>
      <c r="X5" s="49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2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99"/>
      <c r="H106" s="499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499"/>
      <c r="H107" s="499"/>
      <c r="I107" s="273"/>
      <c r="J107" s="276"/>
      <c r="Y107" s="199"/>
    </row>
    <row r="108" spans="3:25" ht="15">
      <c r="C108" s="271"/>
      <c r="D108" s="4"/>
      <c r="F108" s="278"/>
      <c r="G108" s="500"/>
      <c r="H108" s="500"/>
      <c r="I108" s="279"/>
      <c r="J108" s="274"/>
      <c r="Y108" s="199"/>
    </row>
    <row r="109" spans="2:25" ht="16.5">
      <c r="B109" s="501" t="s">
        <v>165</v>
      </c>
      <c r="C109" s="501"/>
      <c r="D109" s="280"/>
      <c r="E109" s="280">
        <f>3396166.95/1000</f>
        <v>3396.1669500000003</v>
      </c>
      <c r="F109" s="282" t="s">
        <v>166</v>
      </c>
      <c r="G109" s="499"/>
      <c r="H109" s="499"/>
      <c r="I109" s="283"/>
      <c r="J109" s="274"/>
      <c r="Y109" s="199"/>
    </row>
    <row r="110" spans="4:25" ht="15">
      <c r="D110" s="4"/>
      <c r="F110" s="278"/>
      <c r="G110" s="499"/>
      <c r="H110" s="499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 aca="true" t="shared" si="50" ref="E136:X136">E17</f>
        <v>0</v>
      </c>
      <c r="F136" s="323">
        <f t="shared" si="50"/>
        <v>0</v>
      </c>
      <c r="G136" s="324">
        <f t="shared" si="50"/>
        <v>0</v>
      </c>
      <c r="H136" s="323">
        <f t="shared" si="50"/>
        <v>0</v>
      </c>
      <c r="I136" s="357">
        <f t="shared" si="50"/>
        <v>0</v>
      </c>
      <c r="J136" s="323">
        <f t="shared" si="50"/>
        <v>0</v>
      </c>
      <c r="K136" s="357">
        <f t="shared" si="50"/>
        <v>0</v>
      </c>
      <c r="L136" s="323">
        <f t="shared" si="50"/>
        <v>0</v>
      </c>
      <c r="M136" s="323">
        <f t="shared" si="50"/>
        <v>0</v>
      </c>
      <c r="N136" s="323">
        <f t="shared" si="50"/>
        <v>0</v>
      </c>
      <c r="O136" s="323">
        <f t="shared" si="50"/>
        <v>0.49</v>
      </c>
      <c r="P136" s="323">
        <f t="shared" si="50"/>
        <v>-0.49</v>
      </c>
      <c r="Q136" s="357">
        <f t="shared" si="50"/>
        <v>0</v>
      </c>
      <c r="R136" s="323">
        <f t="shared" si="50"/>
        <v>0</v>
      </c>
      <c r="S136" s="323">
        <f t="shared" si="50"/>
        <v>0</v>
      </c>
      <c r="T136" s="357" t="e">
        <f t="shared" si="50"/>
        <v>#DIV/0!</v>
      </c>
      <c r="U136" s="323">
        <f t="shared" si="50"/>
        <v>0</v>
      </c>
      <c r="V136" s="323">
        <f t="shared" si="50"/>
        <v>0</v>
      </c>
      <c r="W136" s="323">
        <f t="shared" si="50"/>
        <v>0</v>
      </c>
      <c r="X136" s="357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 aca="true" t="shared" si="52" ref="E137:X137">E18</f>
        <v>235.6</v>
      </c>
      <c r="F137" s="323">
        <f t="shared" si="52"/>
        <v>0</v>
      </c>
      <c r="G137" s="324">
        <f t="shared" si="52"/>
        <v>0</v>
      </c>
      <c r="H137" s="323">
        <f t="shared" si="52"/>
        <v>0</v>
      </c>
      <c r="I137" s="357" t="e">
        <f t="shared" si="52"/>
        <v>#DIV/0!</v>
      </c>
      <c r="J137" s="323">
        <f t="shared" si="52"/>
        <v>-235.6</v>
      </c>
      <c r="K137" s="357">
        <f t="shared" si="52"/>
        <v>0</v>
      </c>
      <c r="L137" s="323">
        <f t="shared" si="52"/>
        <v>0</v>
      </c>
      <c r="M137" s="323">
        <f t="shared" si="52"/>
        <v>0</v>
      </c>
      <c r="N137" s="323">
        <f t="shared" si="52"/>
        <v>0</v>
      </c>
      <c r="O137" s="323">
        <f t="shared" si="52"/>
        <v>220.59</v>
      </c>
      <c r="P137" s="323">
        <f t="shared" si="52"/>
        <v>15.009999999999991</v>
      </c>
      <c r="Q137" s="357">
        <f t="shared" si="52"/>
        <v>1.0680447889750215</v>
      </c>
      <c r="R137" s="323">
        <f t="shared" si="52"/>
        <v>0</v>
      </c>
      <c r="S137" s="323">
        <f t="shared" si="52"/>
        <v>0</v>
      </c>
      <c r="T137" s="357" t="e">
        <f t="shared" si="52"/>
        <v>#DIV/0!</v>
      </c>
      <c r="U137" s="323">
        <f t="shared" si="52"/>
        <v>0</v>
      </c>
      <c r="V137" s="323">
        <f t="shared" si="52"/>
        <v>0</v>
      </c>
      <c r="W137" s="323">
        <f t="shared" si="52"/>
        <v>0</v>
      </c>
      <c r="X137" s="357" t="e">
        <f t="shared" si="52"/>
        <v>#DIV/0!</v>
      </c>
      <c r="Y137" s="199" t="e">
        <f t="shared" si="51"/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 aca="true" t="shared" si="53" ref="E138:X138">E56</f>
        <v>158</v>
      </c>
      <c r="F138" s="333">
        <f t="shared" si="53"/>
        <v>0</v>
      </c>
      <c r="G138" s="334">
        <f t="shared" si="53"/>
        <v>0</v>
      </c>
      <c r="H138" s="333">
        <f t="shared" si="53"/>
        <v>0</v>
      </c>
      <c r="I138" s="442" t="e">
        <f t="shared" si="53"/>
        <v>#DIV/0!</v>
      </c>
      <c r="J138" s="333">
        <f t="shared" si="53"/>
        <v>-158</v>
      </c>
      <c r="K138" s="442">
        <f t="shared" si="53"/>
        <v>0</v>
      </c>
      <c r="L138" s="333">
        <f t="shared" si="53"/>
        <v>0</v>
      </c>
      <c r="M138" s="333">
        <f t="shared" si="53"/>
        <v>0</v>
      </c>
      <c r="N138" s="333">
        <f t="shared" si="53"/>
        <v>0</v>
      </c>
      <c r="O138" s="333">
        <f t="shared" si="53"/>
        <v>153.3</v>
      </c>
      <c r="P138" s="333">
        <f t="shared" si="53"/>
        <v>4.699999999999989</v>
      </c>
      <c r="Q138" s="442">
        <f t="shared" si="53"/>
        <v>1.030658838878017</v>
      </c>
      <c r="R138" s="333">
        <f t="shared" si="53"/>
        <v>14.87</v>
      </c>
      <c r="S138" s="333">
        <f t="shared" si="53"/>
        <v>-14.87</v>
      </c>
      <c r="T138" s="442">
        <f t="shared" si="53"/>
        <v>0</v>
      </c>
      <c r="U138" s="333">
        <f t="shared" si="53"/>
        <v>0</v>
      </c>
      <c r="V138" s="333">
        <f t="shared" si="53"/>
        <v>0</v>
      </c>
      <c r="W138" s="333">
        <f t="shared" si="53"/>
        <v>0</v>
      </c>
      <c r="X138" s="357" t="e">
        <f t="shared" si="53"/>
        <v>#DIV/0!</v>
      </c>
      <c r="Y138" s="199">
        <f t="shared" si="51"/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 aca="true" t="shared" si="54" ref="E139:X139">E57</f>
        <v>13</v>
      </c>
      <c r="F139" s="338">
        <f t="shared" si="54"/>
        <v>2</v>
      </c>
      <c r="G139" s="339">
        <f t="shared" si="54"/>
        <v>2.02</v>
      </c>
      <c r="H139" s="338">
        <f t="shared" si="54"/>
        <v>0.020000000000000018</v>
      </c>
      <c r="I139" s="443">
        <f t="shared" si="54"/>
        <v>1.01</v>
      </c>
      <c r="J139" s="338">
        <f t="shared" si="54"/>
        <v>-10.98</v>
      </c>
      <c r="K139" s="443">
        <f t="shared" si="54"/>
        <v>0.1553846153846154</v>
      </c>
      <c r="L139" s="338">
        <f t="shared" si="54"/>
        <v>0</v>
      </c>
      <c r="M139" s="338">
        <f t="shared" si="54"/>
        <v>0</v>
      </c>
      <c r="N139" s="338">
        <f t="shared" si="54"/>
        <v>0</v>
      </c>
      <c r="O139" s="338">
        <f t="shared" si="54"/>
        <v>12.95</v>
      </c>
      <c r="P139" s="338">
        <f t="shared" si="54"/>
        <v>0.05000000000000071</v>
      </c>
      <c r="Q139" s="443">
        <f t="shared" si="54"/>
        <v>1.0038610038610039</v>
      </c>
      <c r="R139" s="338">
        <f t="shared" si="54"/>
        <v>0</v>
      </c>
      <c r="S139" s="338">
        <f t="shared" si="54"/>
        <v>2.02</v>
      </c>
      <c r="T139" s="443">
        <f t="shared" si="54"/>
        <v>0</v>
      </c>
      <c r="U139" s="338">
        <f t="shared" si="54"/>
        <v>2</v>
      </c>
      <c r="V139" s="338">
        <f t="shared" si="54"/>
        <v>2.02</v>
      </c>
      <c r="W139" s="338">
        <f t="shared" si="54"/>
        <v>0.020000000000000018</v>
      </c>
      <c r="X139" s="445">
        <f t="shared" si="54"/>
        <v>1.01</v>
      </c>
      <c r="Y139" s="199">
        <f t="shared" si="51"/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 aca="true" t="shared" si="55" ref="E140:X140">E58</f>
        <v>744</v>
      </c>
      <c r="F140" s="323">
        <f t="shared" si="55"/>
        <v>28.43</v>
      </c>
      <c r="G140" s="324">
        <f t="shared" si="55"/>
        <v>28.43</v>
      </c>
      <c r="H140" s="323">
        <f t="shared" si="55"/>
        <v>0</v>
      </c>
      <c r="I140" s="357">
        <f t="shared" si="55"/>
        <v>1</v>
      </c>
      <c r="J140" s="323">
        <f t="shared" si="55"/>
        <v>-715.57</v>
      </c>
      <c r="K140" s="357">
        <f t="shared" si="55"/>
        <v>0.03821236559139785</v>
      </c>
      <c r="L140" s="323">
        <f t="shared" si="55"/>
        <v>0</v>
      </c>
      <c r="M140" s="323">
        <f t="shared" si="55"/>
        <v>0</v>
      </c>
      <c r="N140" s="323">
        <f t="shared" si="55"/>
        <v>0</v>
      </c>
      <c r="O140" s="323">
        <f t="shared" si="55"/>
        <v>705.31</v>
      </c>
      <c r="P140" s="323">
        <f t="shared" si="55"/>
        <v>38.690000000000055</v>
      </c>
      <c r="Q140" s="357">
        <f t="shared" si="55"/>
        <v>1.0548553118486907</v>
      </c>
      <c r="R140" s="323">
        <f t="shared" si="55"/>
        <v>11.17</v>
      </c>
      <c r="S140" s="323">
        <f t="shared" si="55"/>
        <v>17.259999999999998</v>
      </c>
      <c r="T140" s="357">
        <f t="shared" si="55"/>
        <v>2.5452103849597134</v>
      </c>
      <c r="U140" s="323">
        <f t="shared" si="55"/>
        <v>28.43</v>
      </c>
      <c r="V140" s="323">
        <f t="shared" si="55"/>
        <v>28.43</v>
      </c>
      <c r="W140" s="323">
        <f t="shared" si="55"/>
        <v>0</v>
      </c>
      <c r="X140" s="357">
        <f t="shared" si="55"/>
        <v>1</v>
      </c>
      <c r="Y140" s="199">
        <f t="shared" si="51"/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 aca="true" t="shared" si="56" ref="E141:X141">E59</f>
        <v>115.5</v>
      </c>
      <c r="F141" s="323">
        <f t="shared" si="56"/>
        <v>0</v>
      </c>
      <c r="G141" s="324">
        <f t="shared" si="56"/>
        <v>-6.55</v>
      </c>
      <c r="H141" s="323">
        <f t="shared" si="56"/>
        <v>-6.55</v>
      </c>
      <c r="I141" s="357" t="e">
        <f t="shared" si="56"/>
        <v>#DIV/0!</v>
      </c>
      <c r="J141" s="323">
        <f t="shared" si="56"/>
        <v>-122.05</v>
      </c>
      <c r="K141" s="357">
        <f t="shared" si="56"/>
        <v>-0.05670995670995671</v>
      </c>
      <c r="L141" s="323">
        <f t="shared" si="56"/>
        <v>0</v>
      </c>
      <c r="M141" s="323">
        <f t="shared" si="56"/>
        <v>0</v>
      </c>
      <c r="N141" s="323">
        <f t="shared" si="56"/>
        <v>0</v>
      </c>
      <c r="O141" s="323">
        <f t="shared" si="56"/>
        <v>114.3</v>
      </c>
      <c r="P141" s="323">
        <f t="shared" si="56"/>
        <v>1.2000000000000028</v>
      </c>
      <c r="Q141" s="357">
        <f t="shared" si="56"/>
        <v>1.010498687664042</v>
      </c>
      <c r="R141" s="323">
        <f t="shared" si="56"/>
        <v>0</v>
      </c>
      <c r="S141" s="323">
        <f t="shared" si="56"/>
        <v>-6.55</v>
      </c>
      <c r="T141" s="357" t="e">
        <f t="shared" si="56"/>
        <v>#DIV/0!</v>
      </c>
      <c r="U141" s="323">
        <f t="shared" si="56"/>
        <v>0</v>
      </c>
      <c r="V141" s="323">
        <f t="shared" si="56"/>
        <v>-6.55</v>
      </c>
      <c r="W141" s="323">
        <f t="shared" si="56"/>
        <v>-6.55</v>
      </c>
      <c r="X141" s="357" t="e">
        <f t="shared" si="56"/>
        <v>#DIV/0!</v>
      </c>
      <c r="Y141" s="199" t="e">
        <f t="shared" si="51"/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 aca="true" t="shared" si="57" ref="E142:X142">E71</f>
        <v>3</v>
      </c>
      <c r="F142" s="323">
        <f t="shared" si="57"/>
        <v>0</v>
      </c>
      <c r="G142" s="324">
        <f t="shared" si="57"/>
        <v>0</v>
      </c>
      <c r="H142" s="323">
        <f t="shared" si="57"/>
        <v>0</v>
      </c>
      <c r="I142" s="357" t="e">
        <f t="shared" si="57"/>
        <v>#DIV/0!</v>
      </c>
      <c r="J142" s="323">
        <f t="shared" si="57"/>
        <v>-3</v>
      </c>
      <c r="K142" s="357">
        <f t="shared" si="57"/>
        <v>0</v>
      </c>
      <c r="L142" s="323">
        <f t="shared" si="57"/>
        <v>0</v>
      </c>
      <c r="M142" s="323">
        <f t="shared" si="57"/>
        <v>0</v>
      </c>
      <c r="N142" s="323">
        <f t="shared" si="57"/>
        <v>0</v>
      </c>
      <c r="O142" s="323">
        <f t="shared" si="57"/>
        <v>2.04</v>
      </c>
      <c r="P142" s="323">
        <f t="shared" si="57"/>
        <v>0.96</v>
      </c>
      <c r="Q142" s="357">
        <f t="shared" si="57"/>
        <v>1.4705882352941175</v>
      </c>
      <c r="R142" s="323">
        <f t="shared" si="57"/>
        <v>1.67</v>
      </c>
      <c r="S142" s="323">
        <f t="shared" si="57"/>
        <v>-1.67</v>
      </c>
      <c r="T142" s="357">
        <f t="shared" si="57"/>
        <v>0</v>
      </c>
      <c r="U142" s="323">
        <f t="shared" si="57"/>
        <v>0</v>
      </c>
      <c r="V142" s="323">
        <f t="shared" si="57"/>
        <v>0</v>
      </c>
      <c r="W142" s="323">
        <f t="shared" si="57"/>
        <v>0</v>
      </c>
      <c r="X142" s="357">
        <f t="shared" si="57"/>
        <v>0</v>
      </c>
      <c r="Y142" s="199">
        <f t="shared" si="51"/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 aca="true" t="shared" si="58" ref="E143:X143">E77</f>
        <v>35</v>
      </c>
      <c r="F143" s="345">
        <f t="shared" si="58"/>
        <v>3.77</v>
      </c>
      <c r="G143" s="346">
        <f t="shared" si="58"/>
        <v>3.77</v>
      </c>
      <c r="H143" s="345">
        <f t="shared" si="58"/>
        <v>0</v>
      </c>
      <c r="I143" s="444">
        <f t="shared" si="58"/>
        <v>1</v>
      </c>
      <c r="J143" s="345">
        <f t="shared" si="58"/>
        <v>-31.23</v>
      </c>
      <c r="K143" s="444">
        <f t="shared" si="58"/>
        <v>0.10771428571428572</v>
      </c>
      <c r="L143" s="345">
        <f t="shared" si="58"/>
        <v>0</v>
      </c>
      <c r="M143" s="345">
        <f t="shared" si="58"/>
        <v>0</v>
      </c>
      <c r="N143" s="345">
        <f t="shared" si="58"/>
        <v>0</v>
      </c>
      <c r="O143" s="345">
        <f t="shared" si="58"/>
        <v>34.22</v>
      </c>
      <c r="P143" s="345">
        <f t="shared" si="58"/>
        <v>0.7800000000000011</v>
      </c>
      <c r="Q143" s="444">
        <f t="shared" si="58"/>
        <v>1.0227936879018118</v>
      </c>
      <c r="R143" s="345">
        <f t="shared" si="58"/>
        <v>1.49</v>
      </c>
      <c r="S143" s="345">
        <f t="shared" si="58"/>
        <v>2.2800000000000002</v>
      </c>
      <c r="T143" s="444">
        <f t="shared" si="58"/>
        <v>2.530201342281879</v>
      </c>
      <c r="U143" s="345">
        <f t="shared" si="58"/>
        <v>3.77</v>
      </c>
      <c r="V143" s="345">
        <f t="shared" si="58"/>
        <v>3.77</v>
      </c>
      <c r="W143" s="345">
        <f t="shared" si="58"/>
        <v>0</v>
      </c>
      <c r="X143" s="444">
        <f t="shared" si="58"/>
        <v>1</v>
      </c>
      <c r="Y143" s="199">
        <f t="shared" si="51"/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 aca="true" t="shared" si="59" ref="E144:X144">E78</f>
        <v>0</v>
      </c>
      <c r="F144" s="345">
        <f t="shared" si="59"/>
        <v>0</v>
      </c>
      <c r="G144" s="346">
        <f t="shared" si="59"/>
        <v>0</v>
      </c>
      <c r="H144" s="345">
        <f t="shared" si="59"/>
        <v>0</v>
      </c>
      <c r="I144" s="444" t="e">
        <f t="shared" si="59"/>
        <v>#DIV/0!</v>
      </c>
      <c r="J144" s="345">
        <f t="shared" si="59"/>
        <v>0</v>
      </c>
      <c r="K144" s="444">
        <f t="shared" si="59"/>
        <v>0</v>
      </c>
      <c r="L144" s="345">
        <f t="shared" si="59"/>
        <v>0</v>
      </c>
      <c r="M144" s="345">
        <f t="shared" si="59"/>
        <v>0</v>
      </c>
      <c r="N144" s="345">
        <f t="shared" si="59"/>
        <v>0</v>
      </c>
      <c r="O144" s="345">
        <f t="shared" si="59"/>
        <v>-4.86</v>
      </c>
      <c r="P144" s="345">
        <f t="shared" si="59"/>
        <v>4.86</v>
      </c>
      <c r="Q144" s="444">
        <f t="shared" si="59"/>
        <v>0</v>
      </c>
      <c r="R144" s="345">
        <f t="shared" si="59"/>
        <v>0</v>
      </c>
      <c r="S144" s="345">
        <f t="shared" si="59"/>
        <v>0</v>
      </c>
      <c r="T144" s="444" t="e">
        <f t="shared" si="59"/>
        <v>#DIV/0!</v>
      </c>
      <c r="U144" s="345">
        <f t="shared" si="59"/>
        <v>0</v>
      </c>
      <c r="V144" s="345">
        <f t="shared" si="59"/>
        <v>0</v>
      </c>
      <c r="W144" s="345">
        <f t="shared" si="59"/>
        <v>0</v>
      </c>
      <c r="X144" s="444">
        <f t="shared" si="59"/>
        <v>0</v>
      </c>
      <c r="Y144" s="199" t="e">
        <f t="shared" si="51"/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 aca="true" t="shared" si="60" ref="J145:P145">SUM(J136:J144)</f>
        <v>-1276.43</v>
      </c>
      <c r="K145" s="189">
        <f t="shared" si="60"/>
        <v>0.24460130998034224</v>
      </c>
      <c r="L145" s="351">
        <f t="shared" si="60"/>
        <v>0</v>
      </c>
      <c r="M145" s="351">
        <f t="shared" si="60"/>
        <v>0</v>
      </c>
      <c r="N145" s="351">
        <f t="shared" si="60"/>
        <v>0</v>
      </c>
      <c r="O145" s="351">
        <f t="shared" si="60"/>
        <v>1238.34</v>
      </c>
      <c r="P145" s="351">
        <f t="shared" si="60"/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54" t="s">
        <v>183</v>
      </c>
      <c r="D147" s="4"/>
      <c r="F147" s="78"/>
      <c r="G147" s="4"/>
      <c r="Y147" s="199">
        <f t="shared" si="51"/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 aca="true" t="shared" si="61" ref="E148:X148">E60</f>
        <v>1284</v>
      </c>
      <c r="F148" s="323">
        <f t="shared" si="61"/>
        <v>89.19</v>
      </c>
      <c r="G148" s="323">
        <f t="shared" si="61"/>
        <v>89.19</v>
      </c>
      <c r="H148" s="323">
        <f t="shared" si="61"/>
        <v>0</v>
      </c>
      <c r="I148" s="357">
        <f t="shared" si="61"/>
        <v>1</v>
      </c>
      <c r="J148" s="323">
        <f t="shared" si="61"/>
        <v>-1194.81</v>
      </c>
      <c r="K148" s="357">
        <f t="shared" si="61"/>
        <v>0.0694626168224299</v>
      </c>
      <c r="L148" s="323">
        <f t="shared" si="61"/>
        <v>0</v>
      </c>
      <c r="M148" s="323">
        <f t="shared" si="61"/>
        <v>0</v>
      </c>
      <c r="N148" s="323">
        <f t="shared" si="61"/>
        <v>0</v>
      </c>
      <c r="O148" s="323">
        <f t="shared" si="61"/>
        <v>1205.14</v>
      </c>
      <c r="P148" s="323">
        <f t="shared" si="61"/>
        <v>78.8599999999999</v>
      </c>
      <c r="Q148" s="357">
        <f t="shared" si="61"/>
        <v>1.0654363808354215</v>
      </c>
      <c r="R148" s="323">
        <f t="shared" si="61"/>
        <v>89.45</v>
      </c>
      <c r="S148" s="323">
        <f t="shared" si="61"/>
        <v>-0.2600000000000051</v>
      </c>
      <c r="T148" s="357">
        <f t="shared" si="61"/>
        <v>0.9970933482392398</v>
      </c>
      <c r="U148" s="323">
        <f t="shared" si="61"/>
        <v>89.19</v>
      </c>
      <c r="V148" s="323">
        <f t="shared" si="61"/>
        <v>89.19</v>
      </c>
      <c r="W148" s="323">
        <f t="shared" si="61"/>
        <v>0</v>
      </c>
      <c r="X148" s="357">
        <f t="shared" si="61"/>
        <v>1</v>
      </c>
      <c r="Y148" s="199">
        <f t="shared" si="51"/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 aca="true" t="shared" si="62" ref="E149:X149">E61</f>
        <v>0</v>
      </c>
      <c r="F149" s="323">
        <f t="shared" si="62"/>
        <v>0</v>
      </c>
      <c r="G149" s="323">
        <f t="shared" si="62"/>
        <v>0</v>
      </c>
      <c r="H149" s="323">
        <f t="shared" si="62"/>
        <v>0</v>
      </c>
      <c r="I149" s="357" t="e">
        <f t="shared" si="62"/>
        <v>#DIV/0!</v>
      </c>
      <c r="J149" s="323">
        <f t="shared" si="62"/>
        <v>0</v>
      </c>
      <c r="K149" s="357" t="e">
        <f t="shared" si="62"/>
        <v>#DIV/0!</v>
      </c>
      <c r="L149" s="323">
        <f t="shared" si="62"/>
        <v>0</v>
      </c>
      <c r="M149" s="323">
        <f t="shared" si="62"/>
        <v>0</v>
      </c>
      <c r="N149" s="323">
        <f t="shared" si="62"/>
        <v>0</v>
      </c>
      <c r="O149" s="323">
        <f t="shared" si="62"/>
        <v>23.38</v>
      </c>
      <c r="P149" s="323">
        <f t="shared" si="62"/>
        <v>-23.38</v>
      </c>
      <c r="Q149" s="357">
        <f t="shared" si="62"/>
        <v>0</v>
      </c>
      <c r="R149" s="323">
        <f t="shared" si="62"/>
        <v>0</v>
      </c>
      <c r="S149" s="323">
        <f t="shared" si="62"/>
        <v>0</v>
      </c>
      <c r="T149" s="357">
        <f t="shared" si="62"/>
        <v>0</v>
      </c>
      <c r="U149" s="323">
        <f t="shared" si="62"/>
        <v>0</v>
      </c>
      <c r="V149" s="323">
        <f t="shared" si="62"/>
        <v>0</v>
      </c>
      <c r="W149" s="323">
        <f t="shared" si="62"/>
        <v>0</v>
      </c>
      <c r="X149" s="357" t="e">
        <f t="shared" si="62"/>
        <v>#DIV/0!</v>
      </c>
      <c r="Y149" s="199">
        <f t="shared" si="51"/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 aca="true" t="shared" si="63" ref="E150:X150">E62</f>
        <v>21260</v>
      </c>
      <c r="F150" s="360">
        <f t="shared" si="63"/>
        <v>1890</v>
      </c>
      <c r="G150" s="360">
        <f t="shared" si="63"/>
        <v>1894.1</v>
      </c>
      <c r="H150" s="360">
        <f t="shared" si="63"/>
        <v>4.099999999999909</v>
      </c>
      <c r="I150" s="362">
        <f t="shared" si="63"/>
        <v>1.002169312169312</v>
      </c>
      <c r="J150" s="360">
        <f t="shared" si="63"/>
        <v>-19365.9</v>
      </c>
      <c r="K150" s="362">
        <f t="shared" si="63"/>
        <v>0.08909219190968955</v>
      </c>
      <c r="L150" s="360">
        <f t="shared" si="63"/>
        <v>0</v>
      </c>
      <c r="M150" s="360">
        <f t="shared" si="63"/>
        <v>0</v>
      </c>
      <c r="N150" s="360">
        <f t="shared" si="63"/>
        <v>0</v>
      </c>
      <c r="O150" s="360">
        <f t="shared" si="63"/>
        <v>20110.14</v>
      </c>
      <c r="P150" s="360">
        <f t="shared" si="63"/>
        <v>1149.8600000000006</v>
      </c>
      <c r="Q150" s="362">
        <f t="shared" si="63"/>
        <v>1.0571781200926498</v>
      </c>
      <c r="R150" s="360">
        <f t="shared" si="63"/>
        <v>1052.56</v>
      </c>
      <c r="S150" s="360">
        <f t="shared" si="63"/>
        <v>841.54</v>
      </c>
      <c r="T150" s="362">
        <f t="shared" si="63"/>
        <v>1.7995173671809683</v>
      </c>
      <c r="U150" s="360">
        <f t="shared" si="63"/>
        <v>1890</v>
      </c>
      <c r="V150" s="360">
        <f t="shared" si="63"/>
        <v>1894.1</v>
      </c>
      <c r="W150" s="360">
        <f t="shared" si="63"/>
        <v>4.099999999999909</v>
      </c>
      <c r="X150" s="362">
        <f t="shared" si="63"/>
        <v>1.002169312169312</v>
      </c>
      <c r="Y150" s="199">
        <f t="shared" si="51"/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 aca="true" t="shared" si="64" ref="E151:X151">E63</f>
        <v>767</v>
      </c>
      <c r="F151" s="360">
        <f t="shared" si="64"/>
        <v>57</v>
      </c>
      <c r="G151" s="360">
        <f t="shared" si="64"/>
        <v>59.37</v>
      </c>
      <c r="H151" s="360">
        <f t="shared" si="64"/>
        <v>2.3699999999999974</v>
      </c>
      <c r="I151" s="362">
        <f t="shared" si="64"/>
        <v>1.041578947368421</v>
      </c>
      <c r="J151" s="360">
        <f t="shared" si="64"/>
        <v>-707.63</v>
      </c>
      <c r="K151" s="362">
        <f t="shared" si="64"/>
        <v>0.07740547588005214</v>
      </c>
      <c r="L151" s="360">
        <f t="shared" si="64"/>
        <v>0</v>
      </c>
      <c r="M151" s="360">
        <f t="shared" si="64"/>
        <v>0</v>
      </c>
      <c r="N151" s="360">
        <f t="shared" si="64"/>
        <v>0</v>
      </c>
      <c r="O151" s="360">
        <f t="shared" si="64"/>
        <v>710.04</v>
      </c>
      <c r="P151" s="360">
        <f t="shared" si="64"/>
        <v>56.960000000000036</v>
      </c>
      <c r="Q151" s="362">
        <f t="shared" si="64"/>
        <v>1.0802208326291478</v>
      </c>
      <c r="R151" s="360">
        <f t="shared" si="64"/>
        <v>44.53</v>
      </c>
      <c r="S151" s="360">
        <f t="shared" si="64"/>
        <v>14.839999999999996</v>
      </c>
      <c r="T151" s="362">
        <f t="shared" si="64"/>
        <v>1.3332584774309453</v>
      </c>
      <c r="U151" s="360">
        <f t="shared" si="64"/>
        <v>57</v>
      </c>
      <c r="V151" s="360">
        <f t="shared" si="64"/>
        <v>59.37</v>
      </c>
      <c r="W151" s="360">
        <f t="shared" si="64"/>
        <v>2.3699999999999974</v>
      </c>
      <c r="X151" s="362">
        <f t="shared" si="64"/>
        <v>1.041578947368421</v>
      </c>
      <c r="Y151" s="199">
        <f t="shared" si="51"/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 aca="true" t="shared" si="65" ref="E152:X152">E64</f>
        <v>44</v>
      </c>
      <c r="F152" s="360">
        <f t="shared" si="65"/>
        <v>1</v>
      </c>
      <c r="G152" s="360">
        <f t="shared" si="65"/>
        <v>1.06</v>
      </c>
      <c r="H152" s="360">
        <f t="shared" si="65"/>
        <v>0.06000000000000005</v>
      </c>
      <c r="I152" s="362">
        <f t="shared" si="65"/>
        <v>1.06</v>
      </c>
      <c r="J152" s="360">
        <f t="shared" si="65"/>
        <v>-42.94</v>
      </c>
      <c r="K152" s="362">
        <f t="shared" si="65"/>
        <v>0.024090909090909093</v>
      </c>
      <c r="L152" s="360">
        <f t="shared" si="65"/>
        <v>0</v>
      </c>
      <c r="M152" s="360">
        <f t="shared" si="65"/>
        <v>0</v>
      </c>
      <c r="N152" s="360">
        <f t="shared" si="65"/>
        <v>0</v>
      </c>
      <c r="O152" s="360">
        <f t="shared" si="65"/>
        <v>41.44</v>
      </c>
      <c r="P152" s="360">
        <f t="shared" si="65"/>
        <v>2.5600000000000023</v>
      </c>
      <c r="Q152" s="362">
        <f t="shared" si="65"/>
        <v>1.0617760617760619</v>
      </c>
      <c r="R152" s="360">
        <f t="shared" si="65"/>
        <v>0</v>
      </c>
      <c r="S152" s="360">
        <f t="shared" si="65"/>
        <v>1.06</v>
      </c>
      <c r="T152" s="362" t="e">
        <f t="shared" si="65"/>
        <v>#DIV/0!</v>
      </c>
      <c r="U152" s="360">
        <f t="shared" si="65"/>
        <v>1</v>
      </c>
      <c r="V152" s="360">
        <f t="shared" si="65"/>
        <v>1.06</v>
      </c>
      <c r="W152" s="360">
        <f t="shared" si="65"/>
        <v>0.06000000000000005</v>
      </c>
      <c r="X152" s="362">
        <f t="shared" si="65"/>
        <v>1.06</v>
      </c>
      <c r="Y152" s="199" t="e">
        <f t="shared" si="51"/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 aca="true" t="shared" si="66" ref="E153:W153">SUM(E148:E152)</f>
        <v>23355</v>
      </c>
      <c r="F153" s="351">
        <f t="shared" si="66"/>
        <v>2037.19</v>
      </c>
      <c r="G153" s="351">
        <f t="shared" si="66"/>
        <v>2043.7199999999998</v>
      </c>
      <c r="H153" s="351">
        <f t="shared" si="66"/>
        <v>6.529999999999907</v>
      </c>
      <c r="I153" s="189">
        <f>G153/F153</f>
        <v>1.0032053956675615</v>
      </c>
      <c r="J153" s="351">
        <f t="shared" si="66"/>
        <v>-21311.280000000002</v>
      </c>
      <c r="K153" s="189">
        <f>G153/E153</f>
        <v>0.0875067437379576</v>
      </c>
      <c r="L153" s="351">
        <f t="shared" si="66"/>
        <v>0</v>
      </c>
      <c r="M153" s="351">
        <f t="shared" si="66"/>
        <v>0</v>
      </c>
      <c r="N153" s="351">
        <f t="shared" si="66"/>
        <v>0</v>
      </c>
      <c r="O153" s="351">
        <f t="shared" si="66"/>
        <v>22090.14</v>
      </c>
      <c r="P153" s="351">
        <f t="shared" si="66"/>
        <v>1264.8600000000006</v>
      </c>
      <c r="Q153" s="189">
        <f>E153/O153</f>
        <v>1.0572590304995804</v>
      </c>
      <c r="R153" s="351">
        <f t="shared" si="66"/>
        <v>1186.54</v>
      </c>
      <c r="S153" s="351">
        <f t="shared" si="66"/>
        <v>857.18</v>
      </c>
      <c r="T153" s="189">
        <f>G153/R153</f>
        <v>1.7224198088560014</v>
      </c>
      <c r="U153" s="351">
        <f t="shared" si="66"/>
        <v>2037.19</v>
      </c>
      <c r="V153" s="351">
        <f t="shared" si="66"/>
        <v>2043.7199999999998</v>
      </c>
      <c r="W153" s="35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 aca="true" t="shared" si="67" ref="E157:X157">E72</f>
        <v>8170</v>
      </c>
      <c r="F157" s="348">
        <f t="shared" si="67"/>
        <v>568.65</v>
      </c>
      <c r="G157" s="348">
        <f t="shared" si="67"/>
        <v>568.65</v>
      </c>
      <c r="H157" s="348">
        <f t="shared" si="67"/>
        <v>0</v>
      </c>
      <c r="I157" s="347">
        <f t="shared" si="67"/>
        <v>1</v>
      </c>
      <c r="J157" s="348">
        <f t="shared" si="67"/>
        <v>-7601.35</v>
      </c>
      <c r="K157" s="347">
        <f t="shared" si="67"/>
        <v>0.06960220318237453</v>
      </c>
      <c r="L157" s="348">
        <f t="shared" si="67"/>
        <v>0</v>
      </c>
      <c r="M157" s="348">
        <f t="shared" si="67"/>
        <v>0</v>
      </c>
      <c r="N157" s="348">
        <f t="shared" si="67"/>
        <v>0</v>
      </c>
      <c r="O157" s="348">
        <f t="shared" si="67"/>
        <v>8086.92</v>
      </c>
      <c r="P157" s="348">
        <f t="shared" si="67"/>
        <v>83.07999999999993</v>
      </c>
      <c r="Q157" s="347">
        <f t="shared" si="67"/>
        <v>1.0102733797292418</v>
      </c>
      <c r="R157" s="348">
        <f t="shared" si="67"/>
        <v>2247.33</v>
      </c>
      <c r="S157" s="348">
        <f t="shared" si="67"/>
        <v>-1678.6799999999998</v>
      </c>
      <c r="T157" s="347">
        <f t="shared" si="67"/>
        <v>0.2530335998718479</v>
      </c>
      <c r="U157" s="348">
        <f t="shared" si="67"/>
        <v>568.65</v>
      </c>
      <c r="V157" s="348">
        <f t="shared" si="67"/>
        <v>568.65</v>
      </c>
      <c r="W157" s="348">
        <f t="shared" si="67"/>
        <v>0</v>
      </c>
      <c r="X157" s="347">
        <f t="shared" si="67"/>
        <v>1</v>
      </c>
      <c r="Y157" s="199">
        <f t="shared" si="51"/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 aca="true" t="shared" si="68" ref="E158:X158">E76</f>
        <v>174.4</v>
      </c>
      <c r="F158" s="348">
        <f t="shared" si="68"/>
        <v>0</v>
      </c>
      <c r="G158" s="348">
        <f t="shared" si="68"/>
        <v>0</v>
      </c>
      <c r="H158" s="348">
        <f t="shared" si="68"/>
        <v>0</v>
      </c>
      <c r="I158" s="347" t="e">
        <f t="shared" si="68"/>
        <v>#DIV/0!</v>
      </c>
      <c r="J158" s="348">
        <f t="shared" si="68"/>
        <v>-174.4</v>
      </c>
      <c r="K158" s="347">
        <f t="shared" si="68"/>
        <v>0</v>
      </c>
      <c r="L158" s="348">
        <f t="shared" si="68"/>
        <v>0</v>
      </c>
      <c r="M158" s="348">
        <f t="shared" si="68"/>
        <v>0</v>
      </c>
      <c r="N158" s="348">
        <f t="shared" si="68"/>
        <v>0</v>
      </c>
      <c r="O158" s="348">
        <f t="shared" si="68"/>
        <v>142.18</v>
      </c>
      <c r="P158" s="348">
        <f t="shared" si="68"/>
        <v>32.22</v>
      </c>
      <c r="Q158" s="347">
        <f t="shared" si="68"/>
        <v>1.2266141510761006</v>
      </c>
      <c r="R158" s="348">
        <f t="shared" si="68"/>
        <v>32.89</v>
      </c>
      <c r="S158" s="348">
        <f t="shared" si="68"/>
        <v>-32.89</v>
      </c>
      <c r="T158" s="347">
        <f t="shared" si="68"/>
        <v>0</v>
      </c>
      <c r="U158" s="348">
        <f t="shared" si="68"/>
        <v>0</v>
      </c>
      <c r="V158" s="348">
        <f t="shared" si="68"/>
        <v>0</v>
      </c>
      <c r="W158" s="348">
        <f t="shared" si="68"/>
        <v>0</v>
      </c>
      <c r="X158" s="347" t="e">
        <f t="shared" si="68"/>
        <v>#DIV/0!</v>
      </c>
      <c r="Y158" s="199">
        <f t="shared" si="51"/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 aca="true" t="shared" si="69" ref="E159:W159">SUM(E157:E158)</f>
        <v>8344.4</v>
      </c>
      <c r="F159" s="351">
        <f t="shared" si="69"/>
        <v>568.65</v>
      </c>
      <c r="G159" s="351">
        <f t="shared" si="69"/>
        <v>568.65</v>
      </c>
      <c r="H159" s="351">
        <f t="shared" si="69"/>
        <v>0</v>
      </c>
      <c r="I159" s="189">
        <f>G159/F159</f>
        <v>1</v>
      </c>
      <c r="J159" s="351">
        <f t="shared" si="69"/>
        <v>-7775.75</v>
      </c>
      <c r="K159" s="189">
        <f>G159/E159</f>
        <v>0.06814750011984085</v>
      </c>
      <c r="L159" s="351">
        <f t="shared" si="69"/>
        <v>0</v>
      </c>
      <c r="M159" s="351">
        <f t="shared" si="69"/>
        <v>0</v>
      </c>
      <c r="N159" s="351">
        <f t="shared" si="69"/>
        <v>0</v>
      </c>
      <c r="O159" s="351">
        <f t="shared" si="69"/>
        <v>8229.1</v>
      </c>
      <c r="P159" s="351">
        <f t="shared" si="69"/>
        <v>115.29999999999993</v>
      </c>
      <c r="Q159" s="189">
        <f>E159/O159</f>
        <v>1.0140112527493892</v>
      </c>
      <c r="R159" s="351">
        <f t="shared" si="69"/>
        <v>2280.22</v>
      </c>
      <c r="S159" s="351">
        <f t="shared" si="69"/>
        <v>-1711.57</v>
      </c>
      <c r="T159" s="189">
        <f>G159/R159</f>
        <v>0.24938383138469097</v>
      </c>
      <c r="U159" s="351">
        <f t="shared" si="69"/>
        <v>568.65</v>
      </c>
      <c r="V159" s="351">
        <f t="shared" si="69"/>
        <v>568.65</v>
      </c>
      <c r="W159" s="35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10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72" sqref="B17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468" t="s">
        <v>142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186"/>
    </row>
    <row r="2" spans="2:24" s="1" customFormat="1" ht="15.75" customHeight="1">
      <c r="B2" s="469"/>
      <c r="C2" s="469"/>
      <c r="D2" s="469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70"/>
      <c r="B3" s="472"/>
      <c r="C3" s="473" t="s">
        <v>0</v>
      </c>
      <c r="D3" s="474" t="s">
        <v>143</v>
      </c>
      <c r="E3" s="25"/>
      <c r="F3" s="475" t="s">
        <v>26</v>
      </c>
      <c r="G3" s="476"/>
      <c r="H3" s="476"/>
      <c r="I3" s="476"/>
      <c r="J3" s="477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13" t="s">
        <v>144</v>
      </c>
      <c r="U3" s="481" t="s">
        <v>145</v>
      </c>
      <c r="V3" s="481"/>
      <c r="W3" s="481"/>
      <c r="X3" s="194"/>
    </row>
    <row r="4" spans="1:23" ht="22.5" customHeight="1">
      <c r="A4" s="470"/>
      <c r="B4" s="472"/>
      <c r="C4" s="473"/>
      <c r="D4" s="474"/>
      <c r="E4" s="482" t="s">
        <v>146</v>
      </c>
      <c r="F4" s="484" t="s">
        <v>31</v>
      </c>
      <c r="G4" s="486" t="s">
        <v>147</v>
      </c>
      <c r="H4" s="479" t="s">
        <v>148</v>
      </c>
      <c r="I4" s="486" t="s">
        <v>149</v>
      </c>
      <c r="J4" s="479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79"/>
      <c r="U4" s="488" t="s">
        <v>152</v>
      </c>
      <c r="V4" s="486" t="s">
        <v>44</v>
      </c>
      <c r="W4" s="490" t="s">
        <v>43</v>
      </c>
    </row>
    <row r="5" spans="1:23" ht="67.5" customHeight="1">
      <c r="A5" s="471"/>
      <c r="B5" s="472"/>
      <c r="C5" s="473"/>
      <c r="D5" s="474"/>
      <c r="E5" s="483"/>
      <c r="F5" s="485"/>
      <c r="G5" s="487"/>
      <c r="H5" s="480"/>
      <c r="I5" s="487"/>
      <c r="J5" s="480"/>
      <c r="K5" s="491" t="s">
        <v>109</v>
      </c>
      <c r="L5" s="492"/>
      <c r="M5" s="493"/>
      <c r="N5" s="494" t="s">
        <v>153</v>
      </c>
      <c r="O5" s="495"/>
      <c r="P5" s="496"/>
      <c r="Q5" s="497" t="s">
        <v>154</v>
      </c>
      <c r="R5" s="497"/>
      <c r="S5" s="497"/>
      <c r="T5" s="480"/>
      <c r="U5" s="489"/>
      <c r="V5" s="487"/>
      <c r="W5" s="490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 aca="true" t="shared" si="0" ref="X8:X22">S8-P8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 t="shared" si="0"/>
        <v>0.003012131566098031</v>
      </c>
      <c r="Y9" s="260">
        <f aca="true" t="shared" si="1" ref="Y9:Y72">S9-P9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 t="shared" si="0"/>
        <v>-0.007269683338326782</v>
      </c>
      <c r="Y10" s="260">
        <f t="shared" si="1"/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 t="shared" si="0"/>
        <v>0.012037594103769922</v>
      </c>
      <c r="Y11" s="260">
        <f t="shared" si="1"/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 t="shared" si="0"/>
        <v>0.3481036992025446</v>
      </c>
      <c r="Y12" s="260">
        <f t="shared" si="1"/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 t="shared" si="0"/>
        <v>0.06785213749811159</v>
      </c>
      <c r="Y13" s="260">
        <f t="shared" si="1"/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 t="shared" si="0"/>
        <v>0.07199597530065083</v>
      </c>
      <c r="Y14" s="260">
        <f t="shared" si="1"/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 t="shared" si="0"/>
        <v>0.00023950009797735206</v>
      </c>
      <c r="Y15" s="260">
        <f t="shared" si="1"/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 t="shared" si="0"/>
        <v>#DIV/0!</v>
      </c>
      <c r="Y16" s="260" t="e">
        <f t="shared" si="1"/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 t="shared" si="0"/>
        <v>2.88235294117647</v>
      </c>
      <c r="Y17" s="260">
        <f t="shared" si="1"/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 t="shared" si="0"/>
        <v>0.004731355252606484</v>
      </c>
      <c r="Y18" s="260">
        <f t="shared" si="1"/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 t="shared" si="0"/>
        <v>-0.03683566123757509</v>
      </c>
      <c r="Y19" s="260">
        <f t="shared" si="1"/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 t="shared" si="0"/>
        <v>-0.026164610275941858</v>
      </c>
      <c r="Y20" s="260">
        <f t="shared" si="1"/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 t="shared" si="0"/>
        <v>0</v>
      </c>
      <c r="Y21" s="260">
        <f t="shared" si="1"/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 t="shared" si="0"/>
        <v>0</v>
      </c>
      <c r="Y22" s="260">
        <f t="shared" si="1"/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 t="shared" si="1"/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 aca="true" t="shared" si="2" ref="X24:X99">S24-P24</f>
        <v>-0.009325376635295646</v>
      </c>
      <c r="Y24" s="260">
        <f t="shared" si="1"/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 t="shared" si="2"/>
        <v>0.019791305902199685</v>
      </c>
      <c r="Y25" s="260">
        <f t="shared" si="1"/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 t="shared" si="2"/>
        <v>-0.3671650646730744</v>
      </c>
      <c r="Y26" s="260">
        <f t="shared" si="1"/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 t="shared" si="2"/>
        <v>0.03559104744019481</v>
      </c>
      <c r="Y27" s="260">
        <f t="shared" si="1"/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 t="shared" si="1"/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 t="shared" si="1"/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 t="shared" si="1"/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 t="shared" si="1"/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 t="shared" si="2"/>
        <v>-0.00675357982474889</v>
      </c>
      <c r="Y32" s="260">
        <f t="shared" si="1"/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 t="shared" si="1"/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 t="shared" si="1"/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 t="shared" si="2"/>
        <v>-0.013243246686799548</v>
      </c>
      <c r="Y35" s="260">
        <f t="shared" si="1"/>
        <v>-0.013243246686799548</v>
      </c>
    </row>
    <row r="36" spans="1:25" s="6" customFormat="1" ht="18" customHeight="1" hidden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 t="shared" si="2"/>
        <v>0.0015162695441595098</v>
      </c>
      <c r="Y36" s="260">
        <f t="shared" si="1"/>
        <v>0.0015162695441595098</v>
      </c>
    </row>
    <row r="37" spans="1:25" s="6" customFormat="1" ht="18" customHeight="1" hidden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 t="shared" si="2"/>
        <v>-0.019928209913950168</v>
      </c>
      <c r="Y37" s="260">
        <f t="shared" si="1"/>
        <v>-0.019928209913950168</v>
      </c>
    </row>
    <row r="38" spans="1:25" s="6" customFormat="1" ht="18" customHeight="1" hidden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 t="shared" si="1"/>
        <v>0.005969908434512616</v>
      </c>
    </row>
    <row r="39" spans="1:25" s="6" customFormat="1" ht="18" customHeight="1" hidden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 t="shared" si="1"/>
        <v>-0.018910894893122254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 t="shared" si="1"/>
        <v>-0.06129099606946076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 t="shared" si="1"/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 t="shared" si="2"/>
        <v>0</v>
      </c>
      <c r="Y42" s="260">
        <f t="shared" si="1"/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 t="shared" si="2"/>
        <v>0.3553704962610469</v>
      </c>
      <c r="Y43" s="260">
        <f t="shared" si="1"/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 t="shared" si="1"/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 t="shared" si="1"/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 t="shared" si="2"/>
        <v>0.28532898803169077</v>
      </c>
      <c r="Y46" s="260">
        <f t="shared" si="1"/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 t="shared" si="2"/>
        <v>0.015575610070475143</v>
      </c>
      <c r="Y47" s="260">
        <f t="shared" si="1"/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 t="shared" si="2"/>
        <v>0.043478260869565216</v>
      </c>
      <c r="Y48" s="260">
        <f t="shared" si="1"/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 t="shared" si="2"/>
        <v>0.01864362128488173</v>
      </c>
      <c r="Y49" s="260">
        <f t="shared" si="1"/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 t="shared" si="2"/>
        <v>0.014466967508085071</v>
      </c>
      <c r="Y50" s="260">
        <f t="shared" si="1"/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 t="shared" si="2"/>
        <v>0.228887277999275</v>
      </c>
      <c r="Y51" s="260">
        <f t="shared" si="1"/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 t="shared" si="2"/>
        <v>0</v>
      </c>
      <c r="Y52" s="260">
        <f t="shared" si="1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 t="shared" si="2"/>
        <v>0.021104340950781952</v>
      </c>
      <c r="Y53" s="259">
        <f t="shared" si="1"/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 t="shared" si="2"/>
        <v>0.0017421602787459634</v>
      </c>
      <c r="Y54" s="260">
        <f t="shared" si="1"/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 t="shared" si="2"/>
        <v>0.016537264051347367</v>
      </c>
      <c r="Y55" s="260">
        <f t="shared" si="1"/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 t="shared" si="2"/>
        <v>3.5428392745465915</v>
      </c>
      <c r="Y56" s="260">
        <f t="shared" si="1"/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 t="shared" si="2"/>
        <v>-130</v>
      </c>
      <c r="Y57" s="260">
        <f t="shared" si="1"/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 t="shared" si="2"/>
        <v>0.18795370639233377</v>
      </c>
      <c r="Y58" s="260">
        <f t="shared" si="1"/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 t="shared" si="2"/>
        <v>0.19451198332754416</v>
      </c>
      <c r="Y59" s="260">
        <f t="shared" si="1"/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 t="shared" si="2"/>
        <v>0.040615166870964226</v>
      </c>
      <c r="Y60" s="260">
        <f t="shared" si="1"/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 t="shared" si="2"/>
        <v>#DIV/0!</v>
      </c>
      <c r="Y61" s="260" t="e">
        <f t="shared" si="1"/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 t="shared" si="2"/>
        <v>0.03591507988618958</v>
      </c>
      <c r="Y62" s="260">
        <f t="shared" si="1"/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 t="shared" si="2"/>
        <v>0.0496210363495746</v>
      </c>
      <c r="Y63" s="260">
        <f t="shared" si="1"/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 t="shared" si="2"/>
        <v>0.9588550983899821</v>
      </c>
      <c r="Y64" s="260">
        <f t="shared" si="1"/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 t="shared" si="2"/>
        <v>0.012995077747796513</v>
      </c>
      <c r="Y65" s="260">
        <f t="shared" si="1"/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 t="shared" si="2"/>
        <v>-0.017588455711113782</v>
      </c>
      <c r="Y66" s="260">
        <f t="shared" si="1"/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 t="shared" si="2"/>
        <v>-0.0710958920511009</v>
      </c>
      <c r="Y67" s="260">
        <f t="shared" si="1"/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 t="shared" si="2"/>
        <v>-2.1578947368421053</v>
      </c>
      <c r="Y68" s="260">
        <f t="shared" si="1"/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 t="shared" si="2"/>
        <v>-50</v>
      </c>
      <c r="Y69" s="260">
        <f t="shared" si="1"/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 t="shared" si="2"/>
        <v>-0.006838136365107474</v>
      </c>
      <c r="Y70" s="260">
        <f t="shared" si="1"/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 t="shared" si="2"/>
        <v>-0.1869918699186992</v>
      </c>
      <c r="Y71" s="260">
        <f t="shared" si="1"/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 t="shared" si="2"/>
        <v>0.032477364539720055</v>
      </c>
      <c r="Y72" s="260">
        <f t="shared" si="1"/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 t="shared" si="2"/>
        <v>#DIV/0!</v>
      </c>
      <c r="Y73" s="260" t="e">
        <f aca="true" t="shared" si="3" ref="Y73:Y136">S73-P73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 t="shared" si="3"/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 t="shared" si="2"/>
        <v>#DIV/0!</v>
      </c>
      <c r="Y75" s="260" t="e">
        <f t="shared" si="3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 t="shared" si="2"/>
        <v>-0.07859915314043753</v>
      </c>
      <c r="Y76" s="260">
        <f t="shared" si="3"/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 t="shared" si="2"/>
        <v>1.4215976331360947</v>
      </c>
      <c r="Y77" s="260">
        <f t="shared" si="3"/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 t="shared" si="2"/>
        <v>-0.6594301221166893</v>
      </c>
      <c r="Y78" s="260">
        <f t="shared" si="3"/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 t="shared" si="2"/>
        <v>0.00010001238551393676</v>
      </c>
      <c r="Y79" s="259">
        <f t="shared" si="3"/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 t="shared" si="2"/>
        <v>0</v>
      </c>
      <c r="Y80" s="260">
        <f t="shared" si="3"/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 t="shared" si="2"/>
        <v>0</v>
      </c>
      <c r="Y81" s="260">
        <f t="shared" si="3"/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 t="shared" si="2"/>
        <v>0</v>
      </c>
      <c r="Y82" s="260">
        <f t="shared" si="3"/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 t="shared" si="2"/>
        <v>0</v>
      </c>
      <c r="Y83" s="260">
        <f t="shared" si="3"/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 t="shared" si="2"/>
        <v>#DIV/0!</v>
      </c>
      <c r="Y84" s="260" t="e">
        <f t="shared" si="3"/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 t="shared" si="2"/>
        <v>0.2590775269872424</v>
      </c>
      <c r="Y85" s="260">
        <f t="shared" si="3"/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 t="shared" si="2"/>
        <v>0.25834970530451873</v>
      </c>
      <c r="Y86" s="260">
        <f t="shared" si="3"/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 t="shared" si="3"/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 t="shared" si="2"/>
        <v>-3.2687481462397625</v>
      </c>
      <c r="Y88" s="260">
        <f t="shared" si="3"/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 t="shared" si="2"/>
        <v>-4.3941510784542</v>
      </c>
      <c r="Y89" s="260">
        <f t="shared" si="3"/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 t="shared" si="2"/>
        <v>-4.899006526543314</v>
      </c>
      <c r="Y90" s="260">
        <f t="shared" si="3"/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 t="shared" si="2"/>
        <v>0.6153846153846154</v>
      </c>
      <c r="Y91" s="260">
        <f t="shared" si="3"/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 t="shared" si="2"/>
        <v>-4.433715580990531</v>
      </c>
      <c r="Y92" s="260">
        <f t="shared" si="3"/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 t="shared" si="2"/>
        <v>0.13101871695956568</v>
      </c>
      <c r="Y93" s="260">
        <f t="shared" si="3"/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 t="shared" si="2"/>
        <v>#DIV/0!</v>
      </c>
      <c r="Y94" s="260" t="e">
        <f t="shared" si="3"/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 t="shared" si="2"/>
        <v>-0.039036572692836446</v>
      </c>
      <c r="Y95" s="260">
        <f t="shared" si="3"/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 t="shared" si="2"/>
        <v>0.06756756756756757</v>
      </c>
      <c r="Y96" s="260">
        <f t="shared" si="3"/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 t="shared" si="2"/>
        <v>-0.037604980917956055</v>
      </c>
      <c r="Y97" s="260">
        <f t="shared" si="3"/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 t="shared" si="2"/>
        <v>-0.0011321822813472604</v>
      </c>
      <c r="Y98" s="260">
        <f t="shared" si="3"/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 t="shared" si="2"/>
        <v>0</v>
      </c>
      <c r="Y99" s="260">
        <f t="shared" si="3"/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 t="shared" si="3"/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 t="shared" si="3"/>
        <v>-0.1127113758633087</v>
      </c>
    </row>
    <row r="102" spans="2:25" ht="15" hidden="1">
      <c r="B102" s="262" t="s">
        <v>159</v>
      </c>
      <c r="U102" s="263"/>
      <c r="X102" s="197"/>
      <c r="Y102" s="260">
        <f t="shared" si="3"/>
        <v>0</v>
      </c>
    </row>
    <row r="103" spans="2:25" ht="15" hidden="1">
      <c r="B103" s="4" t="s">
        <v>160</v>
      </c>
      <c r="C103" s="264">
        <v>0</v>
      </c>
      <c r="D103" s="4" t="s">
        <v>161</v>
      </c>
      <c r="U103" s="265"/>
      <c r="X103" s="197"/>
      <c r="Y103" s="260">
        <f t="shared" si="3"/>
        <v>0</v>
      </c>
    </row>
    <row r="104" spans="2:25" ht="30.75" hidden="1">
      <c r="B104" s="266" t="s">
        <v>162</v>
      </c>
      <c r="C104" s="267" t="e">
        <v>#DIV/0!</v>
      </c>
      <c r="D104" s="4" t="s">
        <v>24</v>
      </c>
      <c r="G104" s="512"/>
      <c r="H104" s="512"/>
      <c r="I104" s="512"/>
      <c r="J104" s="512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 t="shared" si="3"/>
        <v>0</v>
      </c>
    </row>
    <row r="105" spans="2:25" ht="34.5" customHeight="1" hidden="1">
      <c r="B105" s="270" t="s">
        <v>163</v>
      </c>
      <c r="C105" s="271">
        <v>43098</v>
      </c>
      <c r="D105" s="267">
        <v>2330.8</v>
      </c>
      <c r="G105" s="4" t="s">
        <v>164</v>
      </c>
      <c r="U105" s="511"/>
      <c r="V105" s="511"/>
      <c r="X105" s="197"/>
      <c r="Y105" s="260">
        <f t="shared" si="3"/>
        <v>0</v>
      </c>
    </row>
    <row r="106" spans="3:25" ht="15" hidden="1">
      <c r="C106" s="271">
        <v>43097</v>
      </c>
      <c r="D106" s="267">
        <v>15629.9</v>
      </c>
      <c r="G106" s="499"/>
      <c r="H106" s="499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1"/>
      <c r="V106" s="511"/>
      <c r="X106" s="197"/>
      <c r="Y106" s="260">
        <f t="shared" si="3"/>
        <v>0</v>
      </c>
    </row>
    <row r="107" spans="3:25" ht="15.75" customHeight="1" hidden="1">
      <c r="C107" s="271">
        <v>43096</v>
      </c>
      <c r="D107" s="267">
        <v>15417.7</v>
      </c>
      <c r="G107" s="499"/>
      <c r="H107" s="499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1"/>
      <c r="V107" s="511"/>
      <c r="X107" s="197"/>
      <c r="Y107" s="260">
        <f t="shared" si="3"/>
        <v>0</v>
      </c>
    </row>
    <row r="108" spans="3:25" ht="15.75" customHeight="1" hidden="1">
      <c r="C108" s="271"/>
      <c r="F108" s="278"/>
      <c r="G108" s="500"/>
      <c r="H108" s="500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 t="shared" si="3"/>
        <v>0</v>
      </c>
    </row>
    <row r="109" spans="2:25" ht="18" customHeight="1" hidden="1">
      <c r="B109" s="501" t="s">
        <v>165</v>
      </c>
      <c r="C109" s="502"/>
      <c r="D109" s="280">
        <f>3396166.95/1000</f>
        <v>3396.1669500000003</v>
      </c>
      <c r="E109" s="281"/>
      <c r="F109" s="282" t="s">
        <v>166</v>
      </c>
      <c r="G109" s="499"/>
      <c r="H109" s="499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 t="shared" si="3"/>
        <v>0</v>
      </c>
    </row>
    <row r="110" spans="6:25" ht="9.75" customHeight="1" hidden="1">
      <c r="F110" s="278"/>
      <c r="G110" s="499"/>
      <c r="H110" s="499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 t="shared" si="3"/>
        <v>0</v>
      </c>
    </row>
    <row r="111" spans="2:25" ht="22.5" customHeight="1" hidden="1">
      <c r="B111" s="498" t="s">
        <v>167</v>
      </c>
      <c r="C111" s="509"/>
      <c r="D111" s="285">
        <v>0</v>
      </c>
      <c r="E111" s="286" t="s">
        <v>24</v>
      </c>
      <c r="F111" s="278"/>
      <c r="G111" s="499"/>
      <c r="H111" s="499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 t="shared" si="3"/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 t="shared" si="3"/>
        <v>0</v>
      </c>
    </row>
    <row r="113" spans="4:25" ht="15" hidden="1">
      <c r="D113" s="265"/>
      <c r="I113" s="267"/>
      <c r="Q113" s="3"/>
      <c r="R113" s="3"/>
      <c r="S113" s="3"/>
      <c r="T113" s="3"/>
      <c r="U113" s="510"/>
      <c r="V113" s="510"/>
      <c r="W113" s="3"/>
      <c r="X113" s="197"/>
      <c r="Y113" s="260">
        <f t="shared" si="3"/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 t="shared" si="3"/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 t="shared" si="3"/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 t="shared" si="3"/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 t="shared" si="3"/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 t="shared" si="3"/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 t="shared" si="3"/>
        <v>0</v>
      </c>
    </row>
    <row r="120" spans="2:25" ht="15" hidden="1">
      <c r="B120" s="272" t="s">
        <v>173</v>
      </c>
      <c r="E120" s="267">
        <v>79090</v>
      </c>
      <c r="X120" s="197"/>
      <c r="Y120" s="260">
        <f t="shared" si="3"/>
        <v>0</v>
      </c>
    </row>
    <row r="121" spans="24:25" ht="15" hidden="1">
      <c r="X121" s="197"/>
      <c r="Y121" s="260">
        <f t="shared" si="3"/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 t="shared" si="3"/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 t="shared" si="3"/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 t="shared" si="3"/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 t="shared" si="3"/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 t="shared" si="3"/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 t="shared" si="3"/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 t="shared" si="3"/>
        <v>0</v>
      </c>
    </row>
    <row r="129" spans="24:25" ht="15" hidden="1">
      <c r="X129" s="197"/>
      <c r="Y129" s="260">
        <f t="shared" si="3"/>
        <v>0</v>
      </c>
    </row>
    <row r="130" spans="24:25" ht="15" hidden="1">
      <c r="X130" s="197"/>
      <c r="Y130" s="260">
        <f t="shared" si="3"/>
        <v>0</v>
      </c>
    </row>
    <row r="131" spans="24:25" ht="15" hidden="1">
      <c r="X131" s="197"/>
      <c r="Y131" s="260">
        <f t="shared" si="3"/>
        <v>0</v>
      </c>
    </row>
    <row r="132" spans="24:25" ht="15" hidden="1">
      <c r="X132" s="197"/>
      <c r="Y132" s="260">
        <f t="shared" si="3"/>
        <v>0</v>
      </c>
    </row>
    <row r="133" spans="24:25" ht="15" hidden="1">
      <c r="X133" s="197"/>
      <c r="Y133" s="260">
        <f t="shared" si="3"/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 aca="true" t="shared" si="4" ref="X136:X145">S136-P136</f>
        <v>2.88235294117647</v>
      </c>
      <c r="Y136" s="260">
        <f t="shared" si="3"/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 t="shared" si="4"/>
        <v>0.004731355252606484</v>
      </c>
      <c r="Y137" s="260">
        <f aca="true" t="shared" si="5" ref="Y137:Y159">S137-P137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 t="shared" si="4"/>
        <v>3.5428392745465915</v>
      </c>
      <c r="Y138" s="260">
        <f t="shared" si="5"/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 t="shared" si="4"/>
        <v>-130</v>
      </c>
      <c r="Y139" s="260">
        <f t="shared" si="5"/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 t="shared" si="4"/>
        <v>0.18795370639233377</v>
      </c>
      <c r="Y140" s="260">
        <f t="shared" si="5"/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 t="shared" si="4"/>
        <v>0.19451198332754416</v>
      </c>
      <c r="Y141" s="260">
        <f t="shared" si="5"/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 t="shared" si="4"/>
        <v>-0.1869918699186992</v>
      </c>
      <c r="Y142" s="260">
        <f t="shared" si="5"/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 t="shared" si="4"/>
        <v>1.4215976331360947</v>
      </c>
      <c r="Y143" s="260">
        <f t="shared" si="5"/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 t="shared" si="4"/>
        <v>-0.6594301221166893</v>
      </c>
      <c r="Y144" s="260">
        <f t="shared" si="5"/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 t="shared" si="4"/>
        <v>0.37487690550281627</v>
      </c>
      <c r="Y145" s="260">
        <f t="shared" si="5"/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 aca="true" t="shared" si="6" ref="X148:X153">S148-P148</f>
        <v>0.040615166870964226</v>
      </c>
      <c r="Y148" s="260">
        <f t="shared" si="5"/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 t="shared" si="6"/>
        <v>#DIV/0!</v>
      </c>
      <c r="Y149" s="260" t="e">
        <f t="shared" si="5"/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 t="shared" si="6"/>
        <v>0.03591507988618958</v>
      </c>
      <c r="Y150" s="260">
        <f t="shared" si="5"/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 t="shared" si="6"/>
        <v>0.0496210363495746</v>
      </c>
      <c r="Y151" s="260">
        <f t="shared" si="5"/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 t="shared" si="6"/>
        <v>0.9588550983899821</v>
      </c>
      <c r="Y152" s="260">
        <f t="shared" si="5"/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 t="shared" si="6"/>
        <v>0.03823737364086299</v>
      </c>
      <c r="Y153" s="260">
        <f t="shared" si="5"/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 t="shared" si="5"/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 t="shared" si="5"/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 t="shared" si="5"/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" right="0" top="0" bottom="0" header="0" footer="0"/>
  <pageSetup fitToHeight="1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4">
      <selection activeCell="F12" sqref="F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8" t="s">
        <v>185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227"/>
      <c r="S1" s="372"/>
    </row>
    <row r="2" spans="2:19" s="1" customFormat="1" ht="15.75" customHeight="1">
      <c r="B2" s="469"/>
      <c r="C2" s="469"/>
      <c r="D2" s="469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70"/>
      <c r="B3" s="472"/>
      <c r="C3" s="473" t="s">
        <v>0</v>
      </c>
      <c r="D3" s="474" t="s">
        <v>186</v>
      </c>
      <c r="E3" s="25"/>
      <c r="F3" s="475" t="s">
        <v>26</v>
      </c>
      <c r="G3" s="476"/>
      <c r="H3" s="476"/>
      <c r="I3" s="476"/>
      <c r="J3" s="477"/>
      <c r="K3" s="64"/>
      <c r="L3" s="64"/>
      <c r="M3" s="64"/>
      <c r="N3" s="513" t="s">
        <v>187</v>
      </c>
      <c r="O3" s="481" t="s">
        <v>145</v>
      </c>
      <c r="P3" s="481"/>
      <c r="Q3" s="481"/>
      <c r="R3" s="481"/>
      <c r="S3" s="481"/>
    </row>
    <row r="4" spans="1:19" ht="22.5" customHeight="1">
      <c r="A4" s="470"/>
      <c r="B4" s="472"/>
      <c r="C4" s="473"/>
      <c r="D4" s="474"/>
      <c r="E4" s="482" t="s">
        <v>146</v>
      </c>
      <c r="F4" s="517" t="s">
        <v>31</v>
      </c>
      <c r="G4" s="486" t="s">
        <v>188</v>
      </c>
      <c r="H4" s="479" t="s">
        <v>189</v>
      </c>
      <c r="I4" s="486" t="s">
        <v>190</v>
      </c>
      <c r="J4" s="479" t="s">
        <v>191</v>
      </c>
      <c r="K4" s="65" t="s">
        <v>192</v>
      </c>
      <c r="L4" s="142" t="s">
        <v>96</v>
      </c>
      <c r="M4" s="66" t="s">
        <v>53</v>
      </c>
      <c r="N4" s="479"/>
      <c r="O4" s="488" t="s">
        <v>193</v>
      </c>
      <c r="P4" s="486" t="s">
        <v>44</v>
      </c>
      <c r="Q4" s="490" t="s">
        <v>43</v>
      </c>
      <c r="R4" s="375" t="s">
        <v>194</v>
      </c>
      <c r="S4" s="376" t="s">
        <v>53</v>
      </c>
    </row>
    <row r="5" spans="1:19" ht="67.5" customHeight="1">
      <c r="A5" s="471"/>
      <c r="B5" s="472"/>
      <c r="C5" s="473"/>
      <c r="D5" s="474"/>
      <c r="E5" s="483"/>
      <c r="F5" s="518"/>
      <c r="G5" s="487"/>
      <c r="H5" s="480"/>
      <c r="I5" s="487"/>
      <c r="J5" s="480"/>
      <c r="K5" s="491" t="s">
        <v>195</v>
      </c>
      <c r="L5" s="492"/>
      <c r="M5" s="493"/>
      <c r="N5" s="480"/>
      <c r="O5" s="489"/>
      <c r="P5" s="487"/>
      <c r="Q5" s="490"/>
      <c r="R5" s="491" t="s">
        <v>196</v>
      </c>
      <c r="S5" s="493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30.75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2"/>
      <c r="H89" s="512"/>
      <c r="I89" s="512"/>
      <c r="J89" s="512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1"/>
      <c r="P90" s="511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99"/>
      <c r="H91" s="499"/>
      <c r="I91" s="273"/>
      <c r="J91" s="515"/>
      <c r="K91" s="515"/>
      <c r="L91" s="515"/>
      <c r="M91" s="515"/>
      <c r="N91" s="515"/>
      <c r="O91" s="511"/>
      <c r="P91" s="511"/>
    </row>
    <row r="92" spans="3:16" ht="15.75" customHeight="1" hidden="1">
      <c r="C92" s="271">
        <v>42732</v>
      </c>
      <c r="D92" s="267">
        <v>19085.6</v>
      </c>
      <c r="F92" s="429"/>
      <c r="G92" s="499"/>
      <c r="H92" s="499"/>
      <c r="I92" s="273"/>
      <c r="J92" s="516"/>
      <c r="K92" s="516"/>
      <c r="L92" s="516"/>
      <c r="M92" s="516"/>
      <c r="N92" s="516"/>
      <c r="O92" s="511"/>
      <c r="P92" s="511"/>
    </row>
    <row r="93" spans="3:14" ht="15.75" customHeight="1" hidden="1">
      <c r="C93" s="271"/>
      <c r="F93" s="429"/>
      <c r="G93" s="500"/>
      <c r="H93" s="500"/>
      <c r="I93" s="279"/>
      <c r="J93" s="515"/>
      <c r="K93" s="515"/>
      <c r="L93" s="515"/>
      <c r="M93" s="515"/>
      <c r="N93" s="515"/>
    </row>
    <row r="94" spans="2:14" ht="18.75" customHeight="1" hidden="1">
      <c r="B94" s="501" t="s">
        <v>165</v>
      </c>
      <c r="C94" s="502"/>
      <c r="D94" s="280" t="e">
        <f>'[1]ЧТКЕ'!$G$6/1000</f>
        <v>#VALUE!</v>
      </c>
      <c r="E94" s="281"/>
      <c r="F94" s="430" t="s">
        <v>166</v>
      </c>
      <c r="G94" s="499"/>
      <c r="H94" s="499"/>
      <c r="I94" s="283"/>
      <c r="J94" s="515"/>
      <c r="K94" s="515"/>
      <c r="L94" s="515"/>
      <c r="M94" s="515"/>
      <c r="N94" s="515"/>
    </row>
    <row r="95" spans="6:13" ht="9" customHeight="1" hidden="1">
      <c r="F95" s="429"/>
      <c r="G95" s="499"/>
      <c r="H95" s="499"/>
      <c r="I95" s="278"/>
      <c r="J95" s="281"/>
      <c r="K95" s="281"/>
      <c r="L95" s="281"/>
      <c r="M95" s="281"/>
    </row>
    <row r="96" spans="2:13" ht="22.5" customHeight="1" hidden="1">
      <c r="B96" s="498" t="s">
        <v>167</v>
      </c>
      <c r="C96" s="509"/>
      <c r="D96" s="285">
        <v>0</v>
      </c>
      <c r="E96" s="286" t="s">
        <v>24</v>
      </c>
      <c r="F96" s="429"/>
      <c r="G96" s="499"/>
      <c r="H96" s="499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4"/>
      <c r="P98" s="514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.7086614173228347" top="0" bottom="0" header="0" footer="0"/>
  <pageSetup fitToHeight="1" fitToWidth="1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2018-05-10T07:59:57Z</cp:lastPrinted>
  <dcterms:created xsi:type="dcterms:W3CDTF">2003-07-28T11:27:56Z</dcterms:created>
  <dcterms:modified xsi:type="dcterms:W3CDTF">2018-05-11T08:30:15Z</dcterms:modified>
  <cp:category/>
  <cp:version/>
  <cp:contentType/>
  <cp:contentStatus/>
</cp:coreProperties>
</file>